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https://agriculturalmagnetic-my.sharepoint.com/personal/julien_mallet_magrowtec_com/Documents/Documents/1. Business Development/6 - ROI Tool/New ROI Tool/"/>
    </mc:Choice>
  </mc:AlternateContent>
  <xr:revisionPtr revIDLastSave="197" documentId="11_4E5F7A025F96CA47C4770EA18230BDDA32B87FD3" xr6:coauthVersionLast="47" xr6:coauthVersionMax="47" xr10:uidLastSave="{DF758C9B-9F52-6E49-9C11-60AF81A71D84}"/>
  <bookViews>
    <workbookView xWindow="2140" yWindow="22280" windowWidth="34560" windowHeight="20540" xr2:uid="{00000000-000D-0000-FFFF-FFFF00000000}"/>
  </bookViews>
  <sheets>
    <sheet name="PAYBACK Calculator" sheetId="1" r:id="rId1"/>
    <sheet name="Refine Calculation" sheetId="2" r:id="rId2"/>
    <sheet name="Detailed results" sheetId="3" r:id="rId3"/>
    <sheet name="Settings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4" l="1"/>
  <c r="G54" i="4" s="1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L4" i="4"/>
  <c r="L5" i="4" s="1"/>
  <c r="L6" i="4" s="1"/>
  <c r="L7" i="4" s="1"/>
  <c r="L8" i="4" s="1"/>
  <c r="L9" i="4" s="1"/>
  <c r="L10" i="4" s="1"/>
  <c r="L11" i="4" s="1"/>
  <c r="L12" i="4" s="1"/>
  <c r="L13" i="4" s="1"/>
  <c r="L14" i="4" s="1"/>
  <c r="K4" i="4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J4" i="4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E4" i="4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G44" i="3"/>
  <c r="H43" i="3"/>
  <c r="D43" i="3"/>
  <c r="E43" i="3" s="1"/>
  <c r="H9" i="3"/>
  <c r="H10" i="3" s="1"/>
  <c r="F9" i="3"/>
  <c r="D9" i="3"/>
  <c r="D10" i="3" s="1"/>
  <c r="F10" i="3" s="1"/>
  <c r="E10" i="3" s="1"/>
  <c r="H4" i="3"/>
  <c r="E16" i="2"/>
  <c r="F12" i="2"/>
  <c r="E14" i="1"/>
  <c r="H7" i="3" s="1"/>
  <c r="D14" i="1"/>
  <c r="C14" i="1"/>
  <c r="F19" i="2" s="1"/>
  <c r="B23" i="1" l="1"/>
  <c r="H42" i="3"/>
  <c r="H13" i="3"/>
  <c r="G55" i="4"/>
  <c r="D5" i="3"/>
  <c r="G43" i="3"/>
  <c r="E15" i="1"/>
  <c r="D7" i="3"/>
  <c r="C18" i="1"/>
  <c r="F5" i="3"/>
  <c r="H5" i="3"/>
  <c r="E18" i="1"/>
  <c r="F7" i="3"/>
  <c r="F43" i="3"/>
  <c r="D39" i="3" l="1"/>
  <c r="E39" i="3"/>
  <c r="E35" i="1" s="1"/>
  <c r="F42" i="3"/>
  <c r="F57" i="3" s="1"/>
  <c r="G57" i="3" s="1"/>
  <c r="F13" i="3"/>
  <c r="E23" i="1"/>
  <c r="D23" i="1"/>
  <c r="D13" i="3"/>
  <c r="G13" i="3" s="1"/>
  <c r="B65" i="1" s="1"/>
  <c r="D42" i="3"/>
  <c r="D57" i="3" s="1"/>
  <c r="E7" i="3"/>
  <c r="E42" i="3" s="1"/>
  <c r="G52" i="3"/>
  <c r="D8" i="3"/>
  <c r="D52" i="3"/>
  <c r="C62" i="1"/>
  <c r="B31" i="1"/>
  <c r="H18" i="3"/>
  <c r="H57" i="3"/>
  <c r="D16" i="3"/>
  <c r="F16" i="3"/>
  <c r="H17" i="3"/>
  <c r="H16" i="3"/>
  <c r="D53" i="3" l="1"/>
  <c r="G53" i="3" s="1"/>
  <c r="F39" i="3"/>
  <c r="F53" i="3" s="1"/>
  <c r="H39" i="3"/>
  <c r="D25" i="3"/>
  <c r="H34" i="3"/>
  <c r="H19" i="3"/>
  <c r="D24" i="1"/>
  <c r="D26" i="1"/>
  <c r="F52" i="3"/>
  <c r="F8" i="3"/>
  <c r="F25" i="3" s="1"/>
  <c r="H8" i="3"/>
  <c r="H25" i="3" s="1"/>
  <c r="C71" i="1" s="1"/>
  <c r="H52" i="3"/>
  <c r="G42" i="3"/>
  <c r="D18" i="3"/>
  <c r="E13" i="3"/>
  <c r="D17" i="3"/>
  <c r="D11" i="3" s="1"/>
  <c r="E24" i="1"/>
  <c r="E26" i="1"/>
  <c r="F18" i="3"/>
  <c r="F17" i="3"/>
  <c r="E16" i="3"/>
  <c r="F34" i="3" l="1"/>
  <c r="D34" i="3"/>
  <c r="H53" i="3"/>
  <c r="G39" i="3"/>
  <c r="E66" i="1" s="1"/>
  <c r="D19" i="3"/>
  <c r="D40" i="3" s="1"/>
  <c r="D35" i="3"/>
  <c r="D45" i="3"/>
  <c r="D56" i="3" s="1"/>
  <c r="G56" i="3" s="1"/>
  <c r="E34" i="3"/>
  <c r="H45" i="3"/>
  <c r="H35" i="3"/>
  <c r="E8" i="3"/>
  <c r="F29" i="3"/>
  <c r="F30" i="3" s="1"/>
  <c r="E25" i="3"/>
  <c r="C72" i="1"/>
  <c r="E42" i="1"/>
  <c r="E18" i="3"/>
  <c r="B38" i="1"/>
  <c r="E17" i="3"/>
  <c r="E19" i="3" s="1"/>
  <c r="F35" i="3"/>
  <c r="F45" i="3"/>
  <c r="F56" i="3" s="1"/>
  <c r="H40" i="3"/>
  <c r="H20" i="3"/>
  <c r="H22" i="3" s="1"/>
  <c r="G19" i="3"/>
  <c r="B68" i="1" s="1"/>
  <c r="C68" i="1" s="1"/>
  <c r="H23" i="3"/>
  <c r="D29" i="3"/>
  <c r="D30" i="3" s="1"/>
  <c r="E41" i="1"/>
  <c r="D23" i="3" l="1"/>
  <c r="D20" i="3"/>
  <c r="E30" i="3"/>
  <c r="E31" i="3" s="1"/>
  <c r="E20" i="3"/>
  <c r="F19" i="3"/>
  <c r="F40" i="3" s="1"/>
  <c r="E40" i="3"/>
  <c r="B41" i="1"/>
  <c r="C41" i="1" s="1"/>
  <c r="G40" i="3"/>
  <c r="H54" i="3"/>
  <c r="H46" i="3"/>
  <c r="F41" i="3"/>
  <c r="F55" i="3" s="1"/>
  <c r="F36" i="3"/>
  <c r="I23" i="3"/>
  <c r="I24" i="3" s="1"/>
  <c r="G23" i="3"/>
  <c r="G24" i="3" s="1"/>
  <c r="E72" i="1" s="1"/>
  <c r="D54" i="3"/>
  <c r="H41" i="3"/>
  <c r="H36" i="3"/>
  <c r="F20" i="3"/>
  <c r="F23" i="3"/>
  <c r="E23" i="3" s="1"/>
  <c r="E24" i="3" s="1"/>
  <c r="B45" i="1" s="1"/>
  <c r="D45" i="1"/>
  <c r="D41" i="3"/>
  <c r="D55" i="3" s="1"/>
  <c r="G55" i="3" s="1"/>
  <c r="D36" i="3"/>
  <c r="E36" i="1"/>
  <c r="H56" i="3"/>
  <c r="G45" i="3"/>
  <c r="E69" i="1" s="1"/>
  <c r="D22" i="3"/>
  <c r="D26" i="3"/>
  <c r="D27" i="3"/>
  <c r="E35" i="3"/>
  <c r="E41" i="3" s="1"/>
  <c r="E37" i="1" s="1"/>
  <c r="E45" i="3"/>
  <c r="E38" i="1" s="1"/>
  <c r="E46" i="3" l="1"/>
  <c r="D34" i="1" s="1"/>
  <c r="E34" i="1" s="1"/>
  <c r="D49" i="3"/>
  <c r="D50" i="3" s="1"/>
  <c r="B35" i="1" s="1"/>
  <c r="D46" i="3"/>
  <c r="H47" i="3" s="1"/>
  <c r="D65" i="1" s="1"/>
  <c r="E65" i="1" s="1"/>
  <c r="F54" i="3"/>
  <c r="F58" i="3" s="1"/>
  <c r="F46" i="3"/>
  <c r="H55" i="3"/>
  <c r="H58" i="3" s="1"/>
  <c r="G41" i="3"/>
  <c r="E68" i="1" s="1"/>
  <c r="E49" i="3"/>
  <c r="B34" i="1"/>
  <c r="G54" i="3"/>
  <c r="D58" i="3"/>
  <c r="F22" i="3"/>
  <c r="E22" i="3" s="1"/>
  <c r="F27" i="3"/>
  <c r="E27" i="3" s="1"/>
  <c r="F26" i="3"/>
  <c r="E26" i="3" s="1"/>
  <c r="E67" i="1"/>
  <c r="H49" i="3" l="1"/>
  <c r="D74" i="1" s="1"/>
  <c r="H50" i="3" l="1"/>
  <c r="E74" i="1" s="1"/>
</calcChain>
</file>

<file path=xl/sharedStrings.xml><?xml version="1.0" encoding="utf-8"?>
<sst xmlns="http://schemas.openxmlformats.org/spreadsheetml/2006/main" count="266" uniqueCount="238">
  <si>
    <t>Farm name</t>
  </si>
  <si>
    <t>BOOM LENGTH</t>
  </si>
  <si>
    <t>TANK CAPACITY</t>
  </si>
  <si>
    <t>(gallons)</t>
  </si>
  <si>
    <t>CROPS</t>
  </si>
  <si>
    <t>ACRES</t>
  </si>
  <si>
    <t>NUMBER OF TREATMENTS</t>
  </si>
  <si>
    <t>GPA</t>
  </si>
  <si>
    <t>TOTAL</t>
  </si>
  <si>
    <t/>
  </si>
  <si>
    <t>FARM CHEMICALS AND/OR SURFACTANTS BUDGET ($)</t>
  </si>
  <si>
    <t>% ACRES RESPRAYED</t>
  </si>
  <si>
    <t>MAGROWTEC</t>
  </si>
  <si>
    <t>INVESTMENT</t>
  </si>
  <si>
    <t>COST / YEAR</t>
  </si>
  <si>
    <t>PAYMENT / YEAR</t>
  </si>
  <si>
    <t>MINIMUM CHEMICAL SAVINGS TO BREAKEVEN</t>
  </si>
  <si>
    <t>IMPROVE PRODUCTIVITY AND MANAGE COSTS</t>
  </si>
  <si>
    <t>WATER REDUCTION</t>
  </si>
  <si>
    <t>CHEM. REDUCTION</t>
  </si>
  <si>
    <t>TIME TO PAYBACK</t>
  </si>
  <si>
    <t>COST SAVINGS</t>
  </si>
  <si>
    <t>Chemicals ($)</t>
  </si>
  <si>
    <t>Labor ($)</t>
  </si>
  <si>
    <t>TANK FILLS SAVED</t>
  </si>
  <si>
    <t>Fuel ($)</t>
  </si>
  <si>
    <t>Others ($)</t>
  </si>
  <si>
    <t>Water, Drift Claims, Machine, Miscellaneous</t>
  </si>
  <si>
    <t>TIME SAVED</t>
  </si>
  <si>
    <t>ACRES SPRAYED PER TANK</t>
  </si>
  <si>
    <t>CONVENTIONAL</t>
  </si>
  <si>
    <t>PRODUCTIVITY</t>
  </si>
  <si>
    <t>AUTONOMY</t>
  </si>
  <si>
    <t>IMPROVE TREATMENTS EFFICACY</t>
  </si>
  <si>
    <t>TO ACHIEVE THE SAME PERFORMANCE THAN MAGROWTEC</t>
  </si>
  <si>
    <t xml:space="preserve">YOU WILL HAVE TO INCREASE YOUR APPLICATION RATE BY: </t>
  </si>
  <si>
    <t>EXTRA TANK FILLS</t>
  </si>
  <si>
    <t>COST INCREASE</t>
  </si>
  <si>
    <t>EXTRA TIME</t>
  </si>
  <si>
    <t>MORE DETAILS ASSUMPTIONS ABOUT THE CALCULATION</t>
  </si>
  <si>
    <t>Consumption</t>
  </si>
  <si>
    <t>Price</t>
  </si>
  <si>
    <t>FUEL</t>
  </si>
  <si>
    <t>(gal/h)</t>
  </si>
  <si>
    <t>($/gal)</t>
  </si>
  <si>
    <t>LABOR</t>
  </si>
  <si>
    <t>(hours/day)</t>
  </si>
  <si>
    <t>($/hour)</t>
  </si>
  <si>
    <t>WATER</t>
  </si>
  <si>
    <t>($/1000gal)</t>
  </si>
  <si>
    <t>/1000 gallons</t>
  </si>
  <si>
    <t>SPRAYER RENTING COST or GAIN ON SALVAGE VALUE</t>
  </si>
  <si>
    <t>MISCELLANEOUS SAVINGS</t>
  </si>
  <si>
    <t>LOSS OF EFFICIENCY ON THE FIELD</t>
  </si>
  <si>
    <t>🔽</t>
  </si>
  <si>
    <t>TIME TO REFILL THE TANK</t>
  </si>
  <si>
    <t>(min/tank)</t>
  </si>
  <si>
    <t>AVERAGE SPEED ON THE FIELD</t>
  </si>
  <si>
    <t>(Mph)</t>
  </si>
  <si>
    <t>AVERAGE DISTANCE BETWEEN REFILLING POINT AND FIELDS (ROUND TRIP)</t>
  </si>
  <si>
    <t>(miles)</t>
  </si>
  <si>
    <t>AVERAGE ROAD SPEED</t>
  </si>
  <si>
    <t>(M/h)</t>
  </si>
  <si>
    <t>TIME ON THE ROAD PER SPRAY</t>
  </si>
  <si>
    <t>DRIFT CLAIMS</t>
  </si>
  <si>
    <t>REDUCTION IN DRIFT CLAIMS (-%)</t>
  </si>
  <si>
    <t>RE-SPRAYS</t>
  </si>
  <si>
    <t>acres</t>
  </si>
  <si>
    <t>they don't pay any chemicals</t>
  </si>
  <si>
    <t>REDUCTION IN RE-SRPAYS</t>
  </si>
  <si>
    <t>DEPRECIATION PERIOD</t>
  </si>
  <si>
    <t>(years)</t>
  </si>
  <si>
    <t>Details of calculation</t>
  </si>
  <si>
    <t>Re sprays</t>
  </si>
  <si>
    <t>No resprays</t>
  </si>
  <si>
    <t>Rate Reduction</t>
  </si>
  <si>
    <t>Increase coverage without MagrowTec</t>
  </si>
  <si>
    <t>TODAY</t>
  </si>
  <si>
    <t>Savings</t>
  </si>
  <si>
    <t>With MagrowTec</t>
  </si>
  <si>
    <t>Cost increase</t>
  </si>
  <si>
    <t>Acres sprayed</t>
  </si>
  <si>
    <t>Water (gal)</t>
  </si>
  <si>
    <t>Average water rate</t>
  </si>
  <si>
    <r>
      <t xml:space="preserve">Spraying capacity </t>
    </r>
    <r>
      <rPr>
        <sz val="9"/>
        <rFont val="Calibri"/>
        <family val="2"/>
      </rPr>
      <t>(without loss of productivity)</t>
    </r>
  </si>
  <si>
    <t>field</t>
  </si>
  <si>
    <r>
      <t>Spraying capacity</t>
    </r>
    <r>
      <rPr>
        <sz val="9"/>
        <rFont val="Calibri"/>
        <family val="2"/>
      </rPr>
      <t xml:space="preserve"> (with loss of efficiency)</t>
    </r>
  </si>
  <si>
    <t>field + turn</t>
  </si>
  <si>
    <t>Check</t>
  </si>
  <si>
    <t>Number of tanks sprayed</t>
  </si>
  <si>
    <t>Time calculation</t>
  </si>
  <si>
    <t>Hours Spraying</t>
  </si>
  <si>
    <t>time to cover the fields</t>
  </si>
  <si>
    <t>Hours on the road</t>
  </si>
  <si>
    <t>Hours Filling</t>
  </si>
  <si>
    <t>Total Time to protect crops</t>
  </si>
  <si>
    <t>field + road + fill</t>
  </si>
  <si>
    <t>Total Time to protect your crops</t>
  </si>
  <si>
    <t>Total Spraying efficiency per day</t>
  </si>
  <si>
    <t>field+road + fill</t>
  </si>
  <si>
    <t>Total Spraying efficiency per hour</t>
  </si>
  <si>
    <t>Increased productivity</t>
  </si>
  <si>
    <t>Acres sprayed per tank</t>
  </si>
  <si>
    <t>Hours of spraying a day</t>
  </si>
  <si>
    <t>Tanks fill per day</t>
  </si>
  <si>
    <t>Time to empty a tank</t>
  </si>
  <si>
    <t>Time between refills</t>
  </si>
  <si>
    <t>Fuel consumption</t>
  </si>
  <si>
    <t>Time of Machine</t>
  </si>
  <si>
    <t>gal/acre</t>
  </si>
  <si>
    <t>Total cost</t>
  </si>
  <si>
    <t>water ($)</t>
  </si>
  <si>
    <t>Drift Claims ($)</t>
  </si>
  <si>
    <t>Re-Sprays ($)</t>
  </si>
  <si>
    <t>Machine ($)</t>
  </si>
  <si>
    <t>ROI</t>
  </si>
  <si>
    <t>Improved efficiency</t>
  </si>
  <si>
    <t>CHEMICALS</t>
  </si>
  <si>
    <t>EQUIPMENT</t>
  </si>
  <si>
    <t>OTHERS</t>
  </si>
  <si>
    <t>depreciation</t>
  </si>
  <si>
    <t>savings</t>
  </si>
  <si>
    <t>min</t>
  </si>
  <si>
    <t>tank capacity</t>
  </si>
  <si>
    <t># treatments</t>
  </si>
  <si>
    <t>Crops</t>
  </si>
  <si>
    <t># TREATMENTS</t>
  </si>
  <si>
    <t>Chemical cost per acre</t>
  </si>
  <si>
    <t>References chemicals spend</t>
  </si>
  <si>
    <t>Depreciation in progress</t>
  </si>
  <si>
    <t>Economical</t>
  </si>
  <si>
    <t>Corn</t>
  </si>
  <si>
    <t>Alfalfa for fodder</t>
  </si>
  <si>
    <t>Fully depreciated</t>
  </si>
  <si>
    <t>Financial</t>
  </si>
  <si>
    <t>Soybeans</t>
  </si>
  <si>
    <t>Apple</t>
  </si>
  <si>
    <t>Wheat</t>
  </si>
  <si>
    <t>Artichoke</t>
  </si>
  <si>
    <t>Cotton</t>
  </si>
  <si>
    <t>Asparagus</t>
  </si>
  <si>
    <t>Peanuts</t>
  </si>
  <si>
    <t>Barley</t>
  </si>
  <si>
    <t>Potatoes</t>
  </si>
  <si>
    <t>Beans, dry, edible, for grains</t>
  </si>
  <si>
    <t>Sugarcane</t>
  </si>
  <si>
    <t>Beans, harvested green</t>
  </si>
  <si>
    <t>Sugar beet</t>
  </si>
  <si>
    <t>Beet, fodder (mangel)</t>
  </si>
  <si>
    <t>Strawberries</t>
  </si>
  <si>
    <t>Beet, red</t>
  </si>
  <si>
    <t>Tomatoes</t>
  </si>
  <si>
    <t>Beet, sugar</t>
  </si>
  <si>
    <t>Melons</t>
  </si>
  <si>
    <t>Beet, sugar for fodder</t>
  </si>
  <si>
    <t>Other</t>
  </si>
  <si>
    <t>Beet, sugar for seeds</t>
  </si>
  <si>
    <t>Blueberry</t>
  </si>
  <si>
    <t>Broccoli</t>
  </si>
  <si>
    <t>Brussels sprouts</t>
  </si>
  <si>
    <t>Cabbage (red, white, Savoy)</t>
  </si>
  <si>
    <t>Cabbage, Chinese</t>
  </si>
  <si>
    <t>Cabbage, for fodder</t>
  </si>
  <si>
    <t>Cantaloupe</t>
  </si>
  <si>
    <t>Carrot, edible</t>
  </si>
  <si>
    <t>Carrot, for fodder</t>
  </si>
  <si>
    <t>Cauliflower</t>
  </si>
  <si>
    <t>Celeriac</t>
  </si>
  <si>
    <t>Celery</t>
  </si>
  <si>
    <t>Chickpea (gram pea)</t>
  </si>
  <si>
    <t>Chili, fresh (all varieties)</t>
  </si>
  <si>
    <t>Corn (maize), for cereals</t>
  </si>
  <si>
    <t>Corn (maize), for silage</t>
  </si>
  <si>
    <t>Corn (sweet), for vegetable</t>
  </si>
  <si>
    <t>Cotton (all varieties)</t>
  </si>
  <si>
    <t>information / assumption in the back ground for the calculation</t>
  </si>
  <si>
    <t>Cottonseed (all varieties)</t>
  </si>
  <si>
    <t>Cowpea, for grain</t>
  </si>
  <si>
    <t>Retail Price list for 2022 - US</t>
  </si>
  <si>
    <t>Cowpea, harvested green</t>
  </si>
  <si>
    <t>Sprayer Length (ft)</t>
  </si>
  <si>
    <t>Retail Kit Price (USD) ex installation</t>
  </si>
  <si>
    <t>Installation inc mounting bracket</t>
  </si>
  <si>
    <t>Total Cost</t>
  </si>
  <si>
    <t>Cranberry</t>
  </si>
  <si>
    <t>Cucumber</t>
  </si>
  <si>
    <t>Currants (all varieties)</t>
  </si>
  <si>
    <t>Eggplant</t>
  </si>
  <si>
    <t>Garlic, green</t>
  </si>
  <si>
    <t>Hemp fibre</t>
  </si>
  <si>
    <t>Hemp, Manila (abaca)</t>
  </si>
  <si>
    <t>Hemp, sun</t>
  </si>
  <si>
    <t>Hybrid maize</t>
  </si>
  <si>
    <t>Kale</t>
  </si>
  <si>
    <t>Leek</t>
  </si>
  <si>
    <t>Lettuce</t>
  </si>
  <si>
    <t>Maize (corn)</t>
  </si>
  <si>
    <t>Maize (corn) for silage</t>
  </si>
  <si>
    <t>Maize (hybrid)</t>
  </si>
  <si>
    <t>Maize, ordinary</t>
  </si>
  <si>
    <t>Oats, for fodder</t>
  </si>
  <si>
    <t>MagrowTec Kit Cost Unit</t>
  </si>
  <si>
    <t>Oats, for grain</t>
  </si>
  <si>
    <t>MagrowTec cost by year</t>
  </si>
  <si>
    <t>Okra</t>
  </si>
  <si>
    <t>MagrowTec cost by year / ha</t>
  </si>
  <si>
    <t>Onion, green</t>
  </si>
  <si>
    <t>Ornamental plants</t>
  </si>
  <si>
    <t>1 acre =</t>
  </si>
  <si>
    <t>Parsnip</t>
  </si>
  <si>
    <t>1 miles =</t>
  </si>
  <si>
    <t>Pea, harvested green</t>
  </si>
  <si>
    <t>Peanut (groundnut)</t>
  </si>
  <si>
    <t>Pigeon pea</t>
  </si>
  <si>
    <t>Pineapple</t>
  </si>
  <si>
    <t>Potato</t>
  </si>
  <si>
    <t>Potato, sweet</t>
  </si>
  <si>
    <t>Quinoa</t>
  </si>
  <si>
    <t>Radish</t>
  </si>
  <si>
    <t>Rapeseed (colza)</t>
  </si>
  <si>
    <t>Rice</t>
  </si>
  <si>
    <t>Rye</t>
  </si>
  <si>
    <t>Sorghum</t>
  </si>
  <si>
    <t>Soybean</t>
  </si>
  <si>
    <t>Spinach</t>
  </si>
  <si>
    <t>Squash</t>
  </si>
  <si>
    <t>Strawberry</t>
  </si>
  <si>
    <t>Sugarcane for fodder</t>
  </si>
  <si>
    <t>Sugarcane for sugar or alcohol</t>
  </si>
  <si>
    <t>Sugarcane for thatching</t>
  </si>
  <si>
    <t>Sunflower for fodder</t>
  </si>
  <si>
    <t>Sunflower for oil seed</t>
  </si>
  <si>
    <t>Sweet corn</t>
  </si>
  <si>
    <t>Sweet pepper</t>
  </si>
  <si>
    <t>Sweet potato</t>
  </si>
  <si>
    <t>Tobacco</t>
  </si>
  <si>
    <t>Tomato</t>
  </si>
  <si>
    <t>Triticale for fodder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</si>
</sst>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164" formatCode="#,##0.0&quot; h/day&quot;"/>
    <numFmt numFmtId="165" formatCode="#,##0&quot; ft&quot;"/>
    <numFmt numFmtId="166" formatCode="#,##0&quot; gal&quot;"/>
    <numFmt numFmtId="167" formatCode="#,##0&quot; ha&quot;"/>
    <numFmt numFmtId="168" formatCode="#0"/>
    <numFmt numFmtId="169" formatCode="#0&quot; gpa&quot;"/>
    <numFmt numFmtId="170" formatCode="#,##0.0&quot; gpa&quot;"/>
    <numFmt numFmtId="171" formatCode="&quot;$&quot;#,##0"/>
    <numFmt numFmtId="172" formatCode="\$#,##0.00&quot; /acre&quot;"/>
    <numFmt numFmtId="173" formatCode="#0.0%"/>
    <numFmt numFmtId="174" formatCode="#,##0.00&quot; acres&quot;"/>
    <numFmt numFmtId="175" formatCode="#0%"/>
    <numFmt numFmtId="176" formatCode="#,##0.00&quot; years&quot;"/>
    <numFmt numFmtId="177" formatCode="#0&quot; months&quot;"/>
    <numFmt numFmtId="178" formatCode="#,##0&quot; tanks&quot;"/>
    <numFmt numFmtId="179" formatCode="#,##0&quot; h&quot;"/>
    <numFmt numFmtId="180" formatCode="#,##0.0&quot; days&quot;"/>
    <numFmt numFmtId="181" formatCode="#,##0&quot; acres&quot;"/>
    <numFmt numFmtId="182" formatCode="\+#0%"/>
    <numFmt numFmtId="183" formatCode="#,##0.00&quot; gal/h&quot;"/>
    <numFmt numFmtId="184" formatCode="\$#,##0.00&quot; /gal&quot;"/>
    <numFmt numFmtId="185" formatCode="\$#,##0.00&quot; /hour&quot;"/>
    <numFmt numFmtId="186" formatCode="&quot;$&quot;#,##0.00"/>
    <numFmt numFmtId="187" formatCode="#0&quot; min&quot;"/>
    <numFmt numFmtId="188" formatCode="#0.00&quot; min&quot;"/>
    <numFmt numFmtId="189" formatCode="#,##0&quot; mph&quot;"/>
    <numFmt numFmtId="190" formatCode="#,##0.00&quot; miles&quot;"/>
    <numFmt numFmtId="191" formatCode="#,##0.00&quot; h/tank&quot;"/>
    <numFmt numFmtId="192" formatCode="#,##0&quot; years&quot;"/>
    <numFmt numFmtId="193" formatCode="#,##0&quot; gpa&quot;"/>
    <numFmt numFmtId="194" formatCode="#,##0&quot; acres/h&quot;"/>
    <numFmt numFmtId="195" formatCode="#,##0.0&quot; h&quot;"/>
    <numFmt numFmtId="196" formatCode="#,##0.00&quot; h&quot;"/>
    <numFmt numFmtId="197" formatCode="#,##0.00&quot; days&quot;"/>
    <numFmt numFmtId="198" formatCode="#,##0&quot; days&quot;"/>
    <numFmt numFmtId="199" formatCode="#,##0&quot; acres/day&quot;"/>
    <numFmt numFmtId="200" formatCode="#,##0.00&quot; acres/h&quot;"/>
    <numFmt numFmtId="201" formatCode="#0.00%"/>
    <numFmt numFmtId="202" formatCode="#,##0.00&quot; h/day&quot;"/>
    <numFmt numFmtId="203" formatCode="#,##0.000&quot; h&quot;"/>
    <numFmt numFmtId="204" formatCode="#,##0&quot; hours&quot;"/>
    <numFmt numFmtId="205" formatCode="#,##0.00&quot; gal&quot;"/>
    <numFmt numFmtId="206" formatCode="#0.00"/>
    <numFmt numFmtId="207" formatCode="#,##0.00&quot; year&quot;"/>
    <numFmt numFmtId="208" formatCode="#,##0&quot; €/ha&quot;"/>
    <numFmt numFmtId="209" formatCode="\$#,##0&quot; /year&quot;"/>
    <numFmt numFmtId="210" formatCode="#,##0&quot; square foot&quot;"/>
    <numFmt numFmtId="211" formatCode="#,##0&quot; foot&quot;"/>
  </numFmts>
  <fonts count="79" x14ac:knownFonts="1">
    <font>
      <sz val="12"/>
      <color rgb="FF000000"/>
      <name val="Calibri"/>
    </font>
    <font>
      <sz val="12"/>
      <name val="Calibri"/>
      <family val="2"/>
    </font>
    <font>
      <sz val="14"/>
      <color rgb="FFFFFFFF"/>
      <name val="Calibri"/>
      <family val="2"/>
    </font>
    <font>
      <sz val="20"/>
      <color rgb="FF808080"/>
      <name val="Calibri"/>
      <family val="2"/>
    </font>
    <font>
      <sz val="20"/>
      <color rgb="FFFFFFFF"/>
      <name val="Calibri"/>
      <family val="2"/>
    </font>
    <font>
      <sz val="14"/>
      <color rgb="FF002060"/>
      <name val="Calibri"/>
      <family val="2"/>
    </font>
    <font>
      <sz val="14"/>
      <name val="Calibri"/>
      <family val="2"/>
    </font>
    <font>
      <sz val="14"/>
      <name val="Calibri"/>
      <family val="2"/>
    </font>
    <font>
      <i/>
      <sz val="12"/>
      <name val="Calibri"/>
      <family val="2"/>
    </font>
    <font>
      <sz val="11"/>
      <color rgb="FF808080"/>
      <name val="Calibri"/>
      <family val="2"/>
    </font>
    <font>
      <sz val="8"/>
      <color rgb="FF808080"/>
      <name val="Calibri"/>
      <family val="2"/>
    </font>
    <font>
      <i/>
      <sz val="12"/>
      <color rgb="FF808080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i/>
      <sz val="8"/>
      <color rgb="FF808080"/>
      <name val="Calibri"/>
      <family val="2"/>
    </font>
    <font>
      <sz val="12"/>
      <name val="Calibri"/>
      <family val="2"/>
    </font>
    <font>
      <sz val="12"/>
      <color rgb="FF002060"/>
      <name val="Calibri"/>
      <family val="2"/>
    </font>
    <font>
      <sz val="11"/>
      <color rgb="FF808080"/>
      <name val="Calibri"/>
      <family val="2"/>
    </font>
    <font>
      <sz val="12"/>
      <color rgb="FFD3AE92"/>
      <name val="Calibri"/>
      <family val="2"/>
    </font>
    <font>
      <sz val="12"/>
      <color rgb="FF808080"/>
      <name val="Calibri"/>
      <family val="2"/>
    </font>
    <font>
      <b/>
      <sz val="11"/>
      <color rgb="FF80808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i/>
      <sz val="9"/>
      <name val="Calibri"/>
      <family val="2"/>
    </font>
    <font>
      <sz val="10"/>
      <color rgb="FFFFFFFF"/>
      <name val="Calibri"/>
      <family val="2"/>
    </font>
    <font>
      <sz val="11"/>
      <color rgb="FFFFFFFF"/>
      <name val="Calibri"/>
      <family val="2"/>
    </font>
    <font>
      <sz val="12"/>
      <color rgb="FF77BC1E"/>
      <name val="Calibri"/>
      <family val="2"/>
    </font>
    <font>
      <sz val="11"/>
      <color rgb="FFFFFFFF"/>
      <name val="Calibri"/>
      <family val="2"/>
    </font>
    <font>
      <sz val="14"/>
      <color rgb="FF808080"/>
      <name val="Calibri"/>
      <family val="2"/>
    </font>
    <font>
      <i/>
      <sz val="11"/>
      <color rgb="FFD9D9D9"/>
      <name val="Calibri"/>
      <family val="2"/>
    </font>
    <font>
      <b/>
      <i/>
      <sz val="12"/>
      <name val="Calibri"/>
      <family val="2"/>
    </font>
    <font>
      <sz val="14"/>
      <color rgb="FFCA144B"/>
      <name val="Calibri"/>
      <family val="2"/>
    </font>
    <font>
      <i/>
      <sz val="8"/>
      <name val="Calibri"/>
      <family val="2"/>
    </font>
    <font>
      <sz val="14"/>
      <color rgb="FF77BC1E"/>
      <name val="Calibri"/>
      <family val="2"/>
    </font>
    <font>
      <i/>
      <sz val="6"/>
      <color rgb="FFD9D9D9"/>
      <name val="Calibri"/>
      <family val="2"/>
    </font>
    <font>
      <sz val="12"/>
      <color rgb="FFFFFFFF"/>
      <name val="Calibri"/>
      <family val="2"/>
    </font>
    <font>
      <sz val="9"/>
      <color rgb="FFFFFFFF"/>
      <name val="Calibri"/>
      <family val="2"/>
    </font>
    <font>
      <sz val="9"/>
      <color rgb="FF808080"/>
      <name val="Calibri"/>
      <family val="2"/>
    </font>
    <font>
      <sz val="16"/>
      <color rgb="FF808080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color rgb="FF80808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rgb="FF808080"/>
      <name val="NouvelR"/>
    </font>
    <font>
      <sz val="11"/>
      <color rgb="FFF2F2F2"/>
      <name val="Calibri"/>
      <family val="2"/>
    </font>
    <font>
      <sz val="12"/>
      <color rgb="FFF2F2F2"/>
      <name val="Calibri"/>
      <family val="2"/>
    </font>
    <font>
      <sz val="11"/>
      <color rgb="FFF2F2F2"/>
      <name val="Calibri"/>
      <family val="2"/>
    </font>
    <font>
      <sz val="12"/>
      <color rgb="FFF2F2F2"/>
      <name val="Calibri"/>
      <family val="2"/>
    </font>
    <font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2"/>
      <color rgb="FFD3AE92"/>
      <name val="Calibri"/>
      <family val="2"/>
    </font>
    <font>
      <sz val="11"/>
      <color rgb="FFD3AE92"/>
      <name val="Calibri"/>
      <family val="2"/>
    </font>
    <font>
      <i/>
      <sz val="12"/>
      <color rgb="FF00B050"/>
      <name val="Calibri"/>
      <family val="2"/>
    </font>
    <font>
      <i/>
      <sz val="11"/>
      <color rgb="FF00B05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i/>
      <sz val="11"/>
      <color rgb="FFFFFFFF"/>
      <name val="Calibri"/>
      <family val="2"/>
    </font>
    <font>
      <b/>
      <sz val="12"/>
      <color rgb="FFCA144B"/>
      <name val="Calibri"/>
      <family val="2"/>
    </font>
    <font>
      <b/>
      <sz val="12"/>
      <color rgb="FFD3AE92"/>
      <name val="Calibri"/>
      <family val="2"/>
    </font>
    <font>
      <sz val="12"/>
      <name val="Lato"/>
    </font>
    <font>
      <b/>
      <sz val="14"/>
      <name val="Calibri"/>
      <family val="2"/>
    </font>
    <font>
      <sz val="16"/>
      <color theme="3"/>
      <name val="Calibri"/>
      <family val="2"/>
    </font>
    <font>
      <sz val="12"/>
      <color theme="3"/>
      <name val="Calibri"/>
      <family val="2"/>
    </font>
    <font>
      <b/>
      <sz val="11"/>
      <color theme="3"/>
      <name val="Calibri"/>
      <family val="2"/>
    </font>
    <font>
      <b/>
      <sz val="14"/>
      <color theme="3"/>
      <name val="Calibri"/>
      <family val="2"/>
    </font>
    <font>
      <i/>
      <sz val="11"/>
      <color theme="3"/>
      <name val="Calibri"/>
      <family val="2"/>
    </font>
    <font>
      <sz val="11"/>
      <color theme="3"/>
      <name val="Calibri"/>
      <family val="2"/>
    </font>
    <font>
      <sz val="14"/>
      <color theme="3"/>
      <name val="Calibri"/>
      <family val="2"/>
    </font>
    <font>
      <i/>
      <sz val="10"/>
      <color theme="3"/>
      <name val="Calibri"/>
      <family val="2"/>
    </font>
    <font>
      <sz val="14"/>
      <color rgb="FFFF4C23"/>
      <name val="Calibri"/>
      <family val="2"/>
    </font>
    <font>
      <sz val="16"/>
      <color rgb="FFFF4C23"/>
      <name val="Calibri"/>
      <family val="2"/>
    </font>
    <font>
      <b/>
      <sz val="11"/>
      <color rgb="FFFF4C23"/>
      <name val="Calibri"/>
      <family val="2"/>
    </font>
    <font>
      <i/>
      <sz val="11"/>
      <color rgb="FFFF4C23"/>
      <name val="Calibri"/>
      <family val="2"/>
    </font>
    <font>
      <sz val="12"/>
      <color rgb="FFFF4C23"/>
      <name val="Calibri"/>
      <family val="2"/>
    </font>
    <font>
      <sz val="9"/>
      <color rgb="FFFF4C23"/>
      <name val="Calibri"/>
      <family val="2"/>
    </font>
    <font>
      <i/>
      <sz val="10"/>
      <color rgb="FFFF4C23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77BC1E"/>
        <bgColor rgb="FF000000"/>
      </patternFill>
    </fill>
    <fill>
      <patternFill patternType="solid">
        <fgColor rgb="FF13322C"/>
        <bgColor rgb="FF13322C"/>
      </patternFill>
    </fill>
    <fill>
      <patternFill patternType="solid">
        <fgColor rgb="FFF5FCFD"/>
        <bgColor rgb="FF000000"/>
      </patternFill>
    </fill>
    <fill>
      <patternFill patternType="solid">
        <fgColor rgb="FFF6F7CD"/>
        <bgColor rgb="FF000000"/>
      </patternFill>
    </fill>
    <fill>
      <patternFill patternType="solid">
        <fgColor rgb="FFFFDD00"/>
        <bgColor rgb="FFFFDD00"/>
      </patternFill>
    </fill>
    <fill>
      <patternFill patternType="solid">
        <fgColor rgb="FFE4F7CD"/>
        <bgColor rgb="FFE4F7CD"/>
      </patternFill>
    </fill>
    <fill>
      <patternFill patternType="solid">
        <fgColor rgb="FFEBF8FA"/>
        <bgColor rgb="FF000000"/>
      </patternFill>
    </fill>
    <fill>
      <patternFill patternType="solid">
        <fgColor rgb="FFCEEEF3"/>
        <bgColor rgb="FF000000"/>
      </patternFill>
    </fill>
    <fill>
      <patternFill patternType="solid">
        <fgColor rgb="FFE399BB"/>
        <bgColor rgb="FF000000"/>
      </patternFill>
    </fill>
    <fill>
      <patternFill patternType="solid">
        <fgColor rgb="FFF1CCDD"/>
        <bgColor rgb="FF000000"/>
      </patternFill>
    </fill>
    <fill>
      <patternFill patternType="solid">
        <fgColor rgb="FFFACBD9"/>
        <bgColor rgb="FF000000"/>
      </patternFill>
    </fill>
    <fill>
      <patternFill patternType="solid">
        <fgColor theme="3"/>
        <bgColor rgb="FF000000"/>
      </patternFill>
    </fill>
  </fills>
  <borders count="65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FFFFFF"/>
      </top>
      <bottom/>
      <diagonal/>
    </border>
    <border>
      <left/>
      <right/>
      <top style="dotted">
        <color rgb="FFFFFFFF"/>
      </top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FFFFFF"/>
      </left>
      <right/>
      <top/>
      <bottom style="thin">
        <color rgb="FFD9D9D9"/>
      </bottom>
      <diagonal/>
    </border>
    <border>
      <left/>
      <right/>
      <top/>
      <bottom style="thin">
        <color rgb="FFF2F2F2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dashed">
        <color rgb="FFD9D9D9"/>
      </top>
      <bottom style="dashed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dashed">
        <color rgb="FFD9D9D9"/>
      </bottom>
      <diagonal/>
    </border>
    <border>
      <left/>
      <right/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dotted">
        <color rgb="FF13322C"/>
      </bottom>
      <diagonal/>
    </border>
    <border>
      <left/>
      <right/>
      <top/>
      <bottom style="dotted">
        <color rgb="FF13322C"/>
      </bottom>
      <diagonal/>
    </border>
    <border>
      <left/>
      <right style="thin">
        <color rgb="FF000000"/>
      </right>
      <top/>
      <bottom style="dotted">
        <color rgb="FF13322C"/>
      </bottom>
      <diagonal/>
    </border>
    <border>
      <left style="thin">
        <color rgb="FF000000"/>
      </left>
      <right style="thin">
        <color rgb="FF000000"/>
      </right>
      <top/>
      <bottom style="dotted">
        <color rgb="FF13322C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3322C"/>
      </left>
      <right style="dotted">
        <color rgb="FF13322C"/>
      </right>
      <top style="thin">
        <color rgb="FF000000"/>
      </top>
      <bottom style="thin">
        <color rgb="FF000000"/>
      </bottom>
      <diagonal/>
    </border>
    <border>
      <left style="dotted">
        <color rgb="FF13322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3322C"/>
      </left>
      <right style="dotted">
        <color rgb="FF13322C"/>
      </right>
      <top/>
      <bottom/>
      <diagonal/>
    </border>
    <border>
      <left style="dotted">
        <color rgb="FF13322C"/>
      </left>
      <right style="thin">
        <color rgb="FF13322C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13322C"/>
      </left>
      <right style="dotted">
        <color rgb="FF13322C"/>
      </right>
      <top/>
      <bottom style="thin">
        <color rgb="FF13322C"/>
      </bottom>
      <diagonal/>
    </border>
    <border>
      <left style="dotted">
        <color rgb="FF13322C"/>
      </left>
      <right style="thin">
        <color rgb="FF13322C"/>
      </right>
      <top/>
      <bottom style="thin">
        <color rgb="FF13322C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 wrapText="1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 applyAlignment="1">
      <alignment horizontal="right"/>
    </xf>
    <xf numFmtId="165" fontId="13" fillId="2" borderId="0" xfId="0" applyNumberFormat="1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167" fontId="17" fillId="0" borderId="2" xfId="0" applyNumberFormat="1" applyFont="1" applyBorder="1" applyAlignment="1">
      <alignment horizontal="center" vertical="center" wrapText="1"/>
    </xf>
    <xf numFmtId="167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/>
    </xf>
    <xf numFmtId="3" fontId="1" fillId="2" borderId="5" xfId="0" applyNumberFormat="1" applyFont="1" applyFill="1" applyBorder="1" applyAlignment="1">
      <alignment vertical="center"/>
    </xf>
    <xf numFmtId="168" fontId="1" fillId="2" borderId="5" xfId="0" applyNumberFormat="1" applyFont="1" applyFill="1" applyBorder="1" applyAlignment="1">
      <alignment vertical="center"/>
    </xf>
    <xf numFmtId="169" fontId="1" fillId="2" borderId="6" xfId="0" applyNumberFormat="1" applyFont="1" applyFill="1" applyBorder="1" applyAlignment="1">
      <alignment horizontal="center" vertical="center"/>
    </xf>
    <xf numFmtId="0" fontId="18" fillId="0" borderId="0" xfId="0" applyFont="1"/>
    <xf numFmtId="0" fontId="1" fillId="2" borderId="4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vertical="center"/>
    </xf>
    <xf numFmtId="168" fontId="1" fillId="2" borderId="7" xfId="0" applyNumberFormat="1" applyFont="1" applyFill="1" applyBorder="1" applyAlignment="1">
      <alignment vertical="center"/>
    </xf>
    <xf numFmtId="169" fontId="1" fillId="2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9" xfId="0" applyFont="1" applyBorder="1" applyAlignment="1">
      <alignment horizontal="left" vertical="center"/>
    </xf>
    <xf numFmtId="3" fontId="20" fillId="0" borderId="10" xfId="0" applyNumberFormat="1" applyFont="1" applyBorder="1" applyAlignment="1">
      <alignment horizontal="center" vertical="center"/>
    </xf>
    <xf numFmtId="166" fontId="20" fillId="0" borderId="10" xfId="0" applyNumberFormat="1" applyFont="1" applyBorder="1" applyAlignment="1">
      <alignment horizontal="center" vertical="center"/>
    </xf>
    <xf numFmtId="0" fontId="21" fillId="0" borderId="0" xfId="0" applyFont="1"/>
    <xf numFmtId="170" fontId="19" fillId="0" borderId="0" xfId="0" applyNumberFormat="1" applyFont="1" applyAlignment="1">
      <alignment horizontal="center" vertical="top"/>
    </xf>
    <xf numFmtId="171" fontId="22" fillId="3" borderId="11" xfId="0" applyNumberFormat="1" applyFont="1" applyFill="1" applyBorder="1" applyAlignment="1">
      <alignment horizontal="center"/>
    </xf>
    <xf numFmtId="172" fontId="23" fillId="0" borderId="0" xfId="0" applyNumberFormat="1" applyFont="1" applyAlignment="1">
      <alignment horizontal="left"/>
    </xf>
    <xf numFmtId="173" fontId="6" fillId="2" borderId="1" xfId="0" applyNumberFormat="1" applyFont="1" applyFill="1" applyBorder="1" applyAlignment="1">
      <alignment horizontal="center" vertical="center"/>
    </xf>
    <xf numFmtId="174" fontId="23" fillId="0" borderId="0" xfId="0" applyNumberFormat="1" applyFont="1" applyAlignment="1">
      <alignment horizontal="left"/>
    </xf>
    <xf numFmtId="0" fontId="24" fillId="5" borderId="0" xfId="0" applyFont="1" applyFill="1" applyAlignment="1">
      <alignment horizontal="left"/>
    </xf>
    <xf numFmtId="0" fontId="25" fillId="5" borderId="0" xfId="0" applyFont="1" applyFill="1" applyAlignment="1">
      <alignment horizontal="left"/>
    </xf>
    <xf numFmtId="0" fontId="24" fillId="5" borderId="0" xfId="0" applyFont="1" applyFill="1" applyAlignment="1">
      <alignment horizontal="center" wrapText="1"/>
    </xf>
    <xf numFmtId="0" fontId="26" fillId="5" borderId="0" xfId="0" applyFont="1" applyFill="1"/>
    <xf numFmtId="0" fontId="28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170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7" fillId="5" borderId="12" xfId="0" applyFont="1" applyFill="1" applyBorder="1"/>
    <xf numFmtId="0" fontId="27" fillId="5" borderId="0" xfId="0" applyFont="1" applyFill="1"/>
    <xf numFmtId="0" fontId="27" fillId="5" borderId="12" xfId="0" applyFont="1" applyFill="1" applyBorder="1" applyAlignment="1">
      <alignment horizontal="left"/>
    </xf>
    <xf numFmtId="0" fontId="1" fillId="5" borderId="0" xfId="0" applyFont="1" applyFill="1"/>
    <xf numFmtId="0" fontId="29" fillId="5" borderId="0" xfId="0" applyFont="1" applyFill="1" applyAlignment="1">
      <alignment horizontal="right"/>
    </xf>
    <xf numFmtId="0" fontId="30" fillId="0" borderId="0" xfId="0" applyFont="1"/>
    <xf numFmtId="0" fontId="1" fillId="5" borderId="0" xfId="0" applyFont="1" applyFill="1" applyAlignment="1">
      <alignment horizontal="left"/>
    </xf>
    <xf numFmtId="0" fontId="31" fillId="0" borderId="0" xfId="0" applyFont="1"/>
    <xf numFmtId="167" fontId="32" fillId="5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4" fillId="5" borderId="0" xfId="0" applyFont="1" applyFill="1" applyAlignment="1">
      <alignment horizontal="left" vertical="top"/>
    </xf>
    <xf numFmtId="0" fontId="35" fillId="5" borderId="12" xfId="0" applyFont="1" applyFill="1" applyBorder="1"/>
    <xf numFmtId="167" fontId="36" fillId="5" borderId="0" xfId="0" applyNumberFormat="1" applyFont="1" applyFill="1" applyAlignment="1">
      <alignment horizontal="right" vertical="center" wrapText="1"/>
    </xf>
    <xf numFmtId="181" fontId="36" fillId="5" borderId="0" xfId="0" applyNumberFormat="1" applyFont="1" applyFill="1" applyAlignment="1">
      <alignment vertical="center"/>
    </xf>
    <xf numFmtId="167" fontId="26" fillId="5" borderId="0" xfId="0" applyNumberFormat="1" applyFont="1" applyFill="1" applyAlignment="1">
      <alignment horizontal="right" vertical="center" wrapText="1"/>
    </xf>
    <xf numFmtId="181" fontId="33" fillId="5" borderId="0" xfId="0" applyNumberFormat="1" applyFont="1" applyFill="1" applyAlignment="1">
      <alignment vertical="center"/>
    </xf>
    <xf numFmtId="167" fontId="32" fillId="0" borderId="0" xfId="0" applyNumberFormat="1" applyFont="1" applyAlignment="1">
      <alignment horizontal="center" vertical="center" wrapText="1"/>
    </xf>
    <xf numFmtId="181" fontId="1" fillId="0" borderId="0" xfId="0" applyNumberFormat="1" applyFont="1"/>
    <xf numFmtId="166" fontId="1" fillId="0" borderId="0" xfId="0" applyNumberFormat="1" applyFont="1"/>
    <xf numFmtId="0" fontId="37" fillId="0" borderId="0" xfId="0" applyFont="1"/>
    <xf numFmtId="0" fontId="27" fillId="5" borderId="12" xfId="0" applyFont="1" applyFill="1" applyBorder="1" applyAlignment="1">
      <alignment horizontal="right"/>
    </xf>
    <xf numFmtId="0" fontId="27" fillId="5" borderId="13" xfId="0" applyFont="1" applyFill="1" applyBorder="1"/>
    <xf numFmtId="0" fontId="1" fillId="5" borderId="14" xfId="0" applyFont="1" applyFill="1" applyBorder="1"/>
    <xf numFmtId="0" fontId="13" fillId="6" borderId="0" xfId="0" applyFont="1" applyFill="1"/>
    <xf numFmtId="0" fontId="38" fillId="0" borderId="1" xfId="0" applyFont="1" applyBorder="1"/>
    <xf numFmtId="0" fontId="13" fillId="0" borderId="1" xfId="0" applyFont="1" applyBorder="1"/>
    <xf numFmtId="0" fontId="39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/>
    </xf>
    <xf numFmtId="0" fontId="40" fillId="0" borderId="0" xfId="0" applyFont="1"/>
    <xf numFmtId="0" fontId="17" fillId="0" borderId="16" xfId="0" applyFont="1" applyBorder="1" applyAlignment="1">
      <alignment horizontal="left" vertical="center"/>
    </xf>
    <xf numFmtId="0" fontId="19" fillId="0" borderId="16" xfId="0" applyFont="1" applyBorder="1"/>
    <xf numFmtId="0" fontId="17" fillId="0" borderId="16" xfId="0" applyFont="1" applyBorder="1" applyAlignment="1">
      <alignment horizontal="right" vertical="center"/>
    </xf>
    <xf numFmtId="183" fontId="39" fillId="2" borderId="17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84" fontId="39" fillId="2" borderId="17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17" fillId="0" borderId="18" xfId="0" applyFont="1" applyBorder="1" applyAlignment="1">
      <alignment horizontal="left" vertical="center"/>
    </xf>
    <xf numFmtId="0" fontId="19" fillId="0" borderId="18" xfId="0" applyFont="1" applyBorder="1"/>
    <xf numFmtId="0" fontId="17" fillId="0" borderId="18" xfId="0" applyFont="1" applyBorder="1" applyAlignment="1">
      <alignment horizontal="right"/>
    </xf>
    <xf numFmtId="164" fontId="39" fillId="2" borderId="19" xfId="0" applyNumberFormat="1" applyFont="1" applyFill="1" applyBorder="1" applyAlignment="1">
      <alignment horizontal="right" vertical="center"/>
    </xf>
    <xf numFmtId="185" fontId="39" fillId="2" borderId="14" xfId="0" applyNumberFormat="1" applyFont="1" applyFill="1" applyBorder="1" applyAlignment="1">
      <alignment horizontal="right" vertical="center"/>
    </xf>
    <xf numFmtId="171" fontId="17" fillId="0" borderId="18" xfId="0" applyNumberFormat="1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7" fillId="0" borderId="18" xfId="0" applyFont="1" applyBorder="1"/>
    <xf numFmtId="0" fontId="39" fillId="0" borderId="0" xfId="0" applyFont="1" applyAlignment="1">
      <alignment vertical="center"/>
    </xf>
    <xf numFmtId="167" fontId="41" fillId="0" borderId="0" xfId="0" applyNumberFormat="1" applyFont="1" applyAlignment="1">
      <alignment horizontal="right" vertical="center"/>
    </xf>
    <xf numFmtId="186" fontId="39" fillId="2" borderId="14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85" fontId="39" fillId="2" borderId="19" xfId="0" applyNumberFormat="1" applyFont="1" applyFill="1" applyBorder="1" applyAlignment="1">
      <alignment horizontal="right" vertical="center"/>
    </xf>
    <xf numFmtId="0" fontId="19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right" vertical="center" wrapText="1"/>
    </xf>
    <xf numFmtId="175" fontId="39" fillId="2" borderId="17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right" vertical="center"/>
    </xf>
    <xf numFmtId="187" fontId="39" fillId="2" borderId="0" xfId="0" applyNumberFormat="1" applyFont="1" applyFill="1" applyAlignment="1">
      <alignment horizontal="center" vertical="center"/>
    </xf>
    <xf numFmtId="188" fontId="17" fillId="0" borderId="0" xfId="0" applyNumberFormat="1" applyFont="1" applyAlignment="1">
      <alignment horizontal="left" vertical="center"/>
    </xf>
    <xf numFmtId="189" fontId="39" fillId="2" borderId="14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center" wrapText="1"/>
    </xf>
    <xf numFmtId="190" fontId="42" fillId="2" borderId="14" xfId="0" applyNumberFormat="1" applyFont="1" applyFill="1" applyBorder="1" applyAlignment="1">
      <alignment horizontal="right" vertical="center"/>
    </xf>
    <xf numFmtId="167" fontId="43" fillId="0" borderId="0" xfId="0" applyNumberFormat="1" applyFont="1" applyAlignment="1">
      <alignment horizontal="right" vertical="center"/>
    </xf>
    <xf numFmtId="189" fontId="42" fillId="2" borderId="14" xfId="0" applyNumberFormat="1" applyFont="1" applyFill="1" applyBorder="1" applyAlignment="1">
      <alignment horizontal="right" vertical="center"/>
    </xf>
    <xf numFmtId="191" fontId="44" fillId="0" borderId="14" xfId="0" applyNumberFormat="1" applyFont="1" applyBorder="1" applyAlignment="1">
      <alignment horizontal="center" vertical="center"/>
    </xf>
    <xf numFmtId="0" fontId="45" fillId="0" borderId="18" xfId="0" applyFont="1" applyBorder="1" applyAlignment="1">
      <alignment horizontal="left" vertical="center"/>
    </xf>
    <xf numFmtId="0" fontId="46" fillId="0" borderId="18" xfId="0" applyFont="1" applyBorder="1"/>
    <xf numFmtId="0" fontId="45" fillId="0" borderId="18" xfId="0" applyFont="1" applyBorder="1" applyAlignment="1">
      <alignment horizontal="right" vertical="center"/>
    </xf>
    <xf numFmtId="175" fontId="45" fillId="2" borderId="17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/>
    <xf numFmtId="192" fontId="42" fillId="2" borderId="0" xfId="0" applyNumberFormat="1" applyFont="1" applyFill="1" applyAlignment="1">
      <alignment horizontal="right" vertical="center"/>
    </xf>
    <xf numFmtId="0" fontId="49" fillId="0" borderId="0" xfId="0" applyFont="1"/>
    <xf numFmtId="0" fontId="4" fillId="5" borderId="0" xfId="0" applyFont="1" applyFill="1" applyAlignment="1">
      <alignment vertical="center"/>
    </xf>
    <xf numFmtId="0" fontId="50" fillId="0" borderId="0" xfId="0" applyFont="1"/>
    <xf numFmtId="0" fontId="15" fillId="0" borderId="0" xfId="0" applyFont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51" fillId="7" borderId="22" xfId="0" applyFont="1" applyFill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2" fillId="4" borderId="24" xfId="0" applyFont="1" applyFill="1" applyBorder="1" applyAlignment="1">
      <alignment horizontal="center" vertical="center" wrapText="1"/>
    </xf>
    <xf numFmtId="9" fontId="15" fillId="8" borderId="0" xfId="0" applyNumberFormat="1" applyFont="1" applyFill="1"/>
    <xf numFmtId="0" fontId="1" fillId="0" borderId="25" xfId="0" applyFont="1" applyBorder="1" applyAlignment="1">
      <alignment horizontal="left"/>
    </xf>
    <xf numFmtId="0" fontId="1" fillId="0" borderId="0" xfId="0" applyFont="1" applyAlignment="1">
      <alignment horizontal="right"/>
    </xf>
    <xf numFmtId="181" fontId="39" fillId="7" borderId="26" xfId="0" applyNumberFormat="1" applyFont="1" applyFill="1" applyBorder="1"/>
    <xf numFmtId="0" fontId="39" fillId="0" borderId="27" xfId="0" applyFont="1" applyBorder="1"/>
    <xf numFmtId="181" fontId="27" fillId="4" borderId="28" xfId="0" applyNumberFormat="1" applyFont="1" applyFill="1" applyBorder="1"/>
    <xf numFmtId="0" fontId="53" fillId="0" borderId="25" xfId="0" applyFont="1" applyBorder="1" applyAlignment="1">
      <alignment horizontal="left"/>
    </xf>
    <xf numFmtId="0" fontId="53" fillId="0" borderId="0" xfId="0" applyFont="1"/>
    <xf numFmtId="0" fontId="54" fillId="7" borderId="26" xfId="0" applyFont="1" applyFill="1" applyBorder="1"/>
    <xf numFmtId="0" fontId="54" fillId="0" borderId="27" xfId="0" applyFont="1" applyBorder="1"/>
    <xf numFmtId="0" fontId="27" fillId="4" borderId="28" xfId="0" applyFont="1" applyFill="1" applyBorder="1"/>
    <xf numFmtId="0" fontId="1" fillId="0" borderId="0" xfId="0" applyFont="1" applyAlignment="1">
      <alignment horizontal="left"/>
    </xf>
    <xf numFmtId="166" fontId="39" fillId="7" borderId="26" xfId="0" applyNumberFormat="1" applyFont="1" applyFill="1" applyBorder="1"/>
    <xf numFmtId="166" fontId="39" fillId="0" borderId="27" xfId="0" applyNumberFormat="1" applyFont="1" applyBorder="1"/>
    <xf numFmtId="166" fontId="27" fillId="4" borderId="28" xfId="0" applyNumberFormat="1" applyFont="1" applyFill="1" applyBorder="1"/>
    <xf numFmtId="170" fontId="39" fillId="7" borderId="26" xfId="0" applyNumberFormat="1" applyFont="1" applyFill="1" applyBorder="1"/>
    <xf numFmtId="193" fontId="39" fillId="0" borderId="27" xfId="0" applyNumberFormat="1" applyFont="1" applyBorder="1"/>
    <xf numFmtId="170" fontId="27" fillId="4" borderId="28" xfId="0" applyNumberFormat="1" applyFont="1" applyFill="1" applyBorder="1"/>
    <xf numFmtId="193" fontId="39" fillId="0" borderId="0" xfId="0" applyNumberFormat="1" applyFont="1"/>
    <xf numFmtId="194" fontId="39" fillId="7" borderId="26" xfId="0" applyNumberFormat="1" applyFont="1" applyFill="1" applyBorder="1"/>
    <xf numFmtId="194" fontId="27" fillId="4" borderId="0" xfId="0" applyNumberFormat="1" applyFont="1" applyFill="1"/>
    <xf numFmtId="194" fontId="27" fillId="0" borderId="27" xfId="0" applyNumberFormat="1" applyFont="1" applyBorder="1"/>
    <xf numFmtId="0" fontId="55" fillId="0" borderId="25" xfId="0" applyFont="1" applyBorder="1" applyAlignment="1">
      <alignment horizontal="left"/>
    </xf>
    <xf numFmtId="0" fontId="55" fillId="0" borderId="0" xfId="0" applyFont="1"/>
    <xf numFmtId="194" fontId="56" fillId="7" borderId="26" xfId="0" applyNumberFormat="1" applyFont="1" applyFill="1" applyBorder="1"/>
    <xf numFmtId="0" fontId="39" fillId="7" borderId="26" xfId="0" applyFont="1" applyFill="1" applyBorder="1"/>
    <xf numFmtId="178" fontId="57" fillId="7" borderId="26" xfId="0" applyNumberFormat="1" applyFont="1" applyFill="1" applyBorder="1" applyAlignment="1">
      <alignment horizontal="right"/>
    </xf>
    <xf numFmtId="178" fontId="57" fillId="0" borderId="27" xfId="0" applyNumberFormat="1" applyFont="1" applyBorder="1" applyAlignment="1">
      <alignment horizontal="right"/>
    </xf>
    <xf numFmtId="178" fontId="58" fillId="4" borderId="28" xfId="0" applyNumberFormat="1" applyFont="1" applyFill="1" applyBorder="1" applyAlignment="1">
      <alignment horizontal="right"/>
    </xf>
    <xf numFmtId="178" fontId="57" fillId="0" borderId="26" xfId="0" applyNumberFormat="1" applyFont="1" applyBorder="1" applyAlignment="1">
      <alignment horizontal="right"/>
    </xf>
    <xf numFmtId="178" fontId="58" fillId="0" borderId="28" xfId="0" applyNumberFormat="1" applyFont="1" applyBorder="1" applyAlignment="1">
      <alignment horizontal="right"/>
    </xf>
    <xf numFmtId="0" fontId="51" fillId="0" borderId="25" xfId="0" applyFont="1" applyBorder="1" applyAlignment="1">
      <alignment horizontal="left"/>
    </xf>
    <xf numFmtId="0" fontId="39" fillId="0" borderId="26" xfId="0" applyFont="1" applyBorder="1"/>
    <xf numFmtId="0" fontId="27" fillId="0" borderId="28" xfId="0" applyFont="1" applyBorder="1"/>
    <xf numFmtId="0" fontId="43" fillId="0" borderId="29" xfId="0" applyFont="1" applyBorder="1" applyAlignment="1">
      <alignment horizontal="left"/>
    </xf>
    <xf numFmtId="0" fontId="43" fillId="0" borderId="9" xfId="0" applyFont="1" applyBorder="1" applyAlignment="1">
      <alignment horizontal="right"/>
    </xf>
    <xf numFmtId="179" fontId="43" fillId="7" borderId="30" xfId="0" applyNumberFormat="1" applyFont="1" applyFill="1" applyBorder="1" applyAlignment="1">
      <alignment horizontal="right"/>
    </xf>
    <xf numFmtId="195" fontId="43" fillId="0" borderId="31" xfId="0" applyNumberFormat="1" applyFont="1" applyBorder="1" applyAlignment="1">
      <alignment horizontal="right"/>
    </xf>
    <xf numFmtId="179" fontId="59" fillId="4" borderId="9" xfId="0" applyNumberFormat="1" applyFont="1" applyFill="1" applyBorder="1" applyAlignment="1">
      <alignment horizontal="right"/>
    </xf>
    <xf numFmtId="0" fontId="43" fillId="0" borderId="25" xfId="0" applyFont="1" applyBorder="1" applyAlignment="1">
      <alignment horizontal="left"/>
    </xf>
    <xf numFmtId="0" fontId="43" fillId="0" borderId="0" xfId="0" applyFont="1" applyAlignment="1">
      <alignment horizontal="right"/>
    </xf>
    <xf numFmtId="179" fontId="43" fillId="7" borderId="26" xfId="0" applyNumberFormat="1" applyFont="1" applyFill="1" applyBorder="1" applyAlignment="1">
      <alignment horizontal="right"/>
    </xf>
    <xf numFmtId="195" fontId="43" fillId="0" borderId="27" xfId="0" applyNumberFormat="1" applyFont="1" applyBorder="1" applyAlignment="1">
      <alignment horizontal="right"/>
    </xf>
    <xf numFmtId="179" fontId="59" fillId="4" borderId="0" xfId="0" applyNumberFormat="1" applyFont="1" applyFill="1" applyAlignment="1">
      <alignment horizontal="right"/>
    </xf>
    <xf numFmtId="0" fontId="43" fillId="0" borderId="32" xfId="0" applyFont="1" applyBorder="1" applyAlignment="1">
      <alignment horizontal="left"/>
    </xf>
    <xf numFmtId="0" fontId="43" fillId="0" borderId="33" xfId="0" applyFont="1" applyBorder="1" applyAlignment="1">
      <alignment horizontal="right"/>
    </xf>
    <xf numFmtId="179" fontId="43" fillId="7" borderId="34" xfId="0" applyNumberFormat="1" applyFont="1" applyFill="1" applyBorder="1" applyAlignment="1">
      <alignment horizontal="right"/>
    </xf>
    <xf numFmtId="195" fontId="43" fillId="0" borderId="35" xfId="0" applyNumberFormat="1" applyFont="1" applyBorder="1" applyAlignment="1">
      <alignment horizontal="right"/>
    </xf>
    <xf numFmtId="179" fontId="59" fillId="4" borderId="33" xfId="0" applyNumberFormat="1" applyFont="1" applyFill="1" applyBorder="1" applyAlignment="1">
      <alignment horizontal="right"/>
    </xf>
    <xf numFmtId="0" fontId="51" fillId="0" borderId="36" xfId="0" applyFont="1" applyBorder="1" applyAlignment="1">
      <alignment horizontal="left"/>
    </xf>
    <xf numFmtId="0" fontId="51" fillId="0" borderId="37" xfId="0" applyFont="1" applyBorder="1" applyAlignment="1">
      <alignment horizontal="right"/>
    </xf>
    <xf numFmtId="179" fontId="57" fillId="7" borderId="38" xfId="0" applyNumberFormat="1" applyFont="1" applyFill="1" applyBorder="1" applyAlignment="1">
      <alignment horizontal="right"/>
    </xf>
    <xf numFmtId="196" fontId="57" fillId="0" borderId="39" xfId="0" applyNumberFormat="1" applyFont="1" applyBorder="1" applyAlignment="1">
      <alignment horizontal="right"/>
    </xf>
    <xf numFmtId="179" fontId="58" fillId="4" borderId="37" xfId="0" applyNumberFormat="1" applyFont="1" applyFill="1" applyBorder="1" applyAlignment="1">
      <alignment horizontal="right"/>
    </xf>
    <xf numFmtId="197" fontId="39" fillId="7" borderId="26" xfId="0" applyNumberFormat="1" applyFont="1" applyFill="1" applyBorder="1"/>
    <xf numFmtId="198" fontId="27" fillId="0" borderId="27" xfId="0" applyNumberFormat="1" applyFont="1" applyBorder="1"/>
    <xf numFmtId="197" fontId="27" fillId="4" borderId="0" xfId="0" applyNumberFormat="1" applyFont="1" applyFill="1"/>
    <xf numFmtId="0" fontId="27" fillId="4" borderId="0" xfId="0" applyFont="1" applyFill="1"/>
    <xf numFmtId="0" fontId="51" fillId="0" borderId="40" xfId="0" applyFont="1" applyBorder="1" applyAlignment="1">
      <alignment horizontal="left"/>
    </xf>
    <xf numFmtId="0" fontId="51" fillId="0" borderId="41" xfId="0" applyFont="1" applyBorder="1" applyAlignment="1">
      <alignment horizontal="right"/>
    </xf>
    <xf numFmtId="199" fontId="57" fillId="7" borderId="42" xfId="0" applyNumberFormat="1" applyFont="1" applyFill="1" applyBorder="1"/>
    <xf numFmtId="199" fontId="57" fillId="0" borderId="43" xfId="0" applyNumberFormat="1" applyFont="1" applyBorder="1"/>
    <xf numFmtId="199" fontId="58" fillId="4" borderId="41" xfId="0" applyNumberFormat="1" applyFont="1" applyFill="1" applyBorder="1"/>
    <xf numFmtId="0" fontId="60" fillId="0" borderId="0" xfId="0" applyFont="1" applyAlignment="1">
      <alignment horizontal="right"/>
    </xf>
    <xf numFmtId="200" fontId="57" fillId="7" borderId="26" xfId="0" applyNumberFormat="1" applyFont="1" applyFill="1" applyBorder="1"/>
    <xf numFmtId="200" fontId="57" fillId="0" borderId="27" xfId="0" applyNumberFormat="1" applyFont="1" applyBorder="1"/>
    <xf numFmtId="200" fontId="58" fillId="4" borderId="28" xfId="0" applyNumberFormat="1" applyFont="1" applyFill="1" applyBorder="1"/>
    <xf numFmtId="0" fontId="51" fillId="0" borderId="44" xfId="0" applyFont="1" applyBorder="1" applyAlignment="1">
      <alignment horizontal="left"/>
    </xf>
    <xf numFmtId="0" fontId="60" fillId="0" borderId="45" xfId="0" applyFont="1" applyBorder="1" applyAlignment="1">
      <alignment horizontal="right"/>
    </xf>
    <xf numFmtId="200" fontId="57" fillId="7" borderId="46" xfId="0" applyNumberFormat="1" applyFont="1" applyFill="1" applyBorder="1"/>
    <xf numFmtId="175" fontId="57" fillId="0" borderId="47" xfId="0" applyNumberFormat="1" applyFont="1" applyBorder="1"/>
    <xf numFmtId="200" fontId="58" fillId="4" borderId="48" xfId="0" applyNumberFormat="1" applyFont="1" applyFill="1" applyBorder="1"/>
    <xf numFmtId="201" fontId="15" fillId="0" borderId="0" xfId="0" applyNumberFormat="1" applyFont="1"/>
    <xf numFmtId="181" fontId="39" fillId="0" borderId="27" xfId="0" applyNumberFormat="1" applyFont="1" applyBorder="1"/>
    <xf numFmtId="202" fontId="39" fillId="7" borderId="26" xfId="0" applyNumberFormat="1" applyFont="1" applyFill="1" applyBorder="1"/>
    <xf numFmtId="202" fontId="39" fillId="0" borderId="27" xfId="0" applyNumberFormat="1" applyFont="1" applyBorder="1"/>
    <xf numFmtId="202" fontId="27" fillId="4" borderId="0" xfId="0" applyNumberFormat="1" applyFont="1" applyFill="1"/>
    <xf numFmtId="178" fontId="43" fillId="7" borderId="26" xfId="0" applyNumberFormat="1" applyFont="1" applyFill="1" applyBorder="1" applyAlignment="1">
      <alignment horizontal="right"/>
    </xf>
    <xf numFmtId="178" fontId="43" fillId="0" borderId="27" xfId="0" applyNumberFormat="1" applyFont="1" applyBorder="1" applyAlignment="1">
      <alignment horizontal="right"/>
    </xf>
    <xf numFmtId="178" fontId="59" fillId="4" borderId="28" xfId="0" applyNumberFormat="1" applyFont="1" applyFill="1" applyBorder="1" applyAlignment="1">
      <alignment horizontal="right"/>
    </xf>
    <xf numFmtId="203" fontId="43" fillId="7" borderId="26" xfId="0" applyNumberFormat="1" applyFont="1" applyFill="1" applyBorder="1" applyAlignment="1">
      <alignment horizontal="right"/>
    </xf>
    <xf numFmtId="196" fontId="59" fillId="4" borderId="28" xfId="0" applyNumberFormat="1" applyFont="1" applyFill="1" applyBorder="1" applyAlignment="1">
      <alignment horizontal="right"/>
    </xf>
    <xf numFmtId="196" fontId="43" fillId="7" borderId="26" xfId="0" applyNumberFormat="1" applyFont="1" applyFill="1" applyBorder="1" applyAlignment="1">
      <alignment horizontal="right"/>
    </xf>
    <xf numFmtId="196" fontId="43" fillId="0" borderId="27" xfId="0" applyNumberFormat="1" applyFont="1" applyBorder="1" applyAlignment="1">
      <alignment horizontal="right"/>
    </xf>
    <xf numFmtId="175" fontId="43" fillId="0" borderId="27" xfId="0" applyNumberFormat="1" applyFont="1" applyBorder="1" applyAlignment="1">
      <alignment horizontal="right"/>
    </xf>
    <xf numFmtId="203" fontId="59" fillId="4" borderId="28" xfId="0" applyNumberFormat="1" applyFont="1" applyFill="1" applyBorder="1" applyAlignment="1">
      <alignment horizontal="right"/>
    </xf>
    <xf numFmtId="0" fontId="1" fillId="0" borderId="37" xfId="0" applyFont="1" applyBorder="1"/>
    <xf numFmtId="0" fontId="39" fillId="0" borderId="38" xfId="0" applyFont="1" applyBorder="1"/>
    <xf numFmtId="0" fontId="39" fillId="0" borderId="39" xfId="0" applyFont="1" applyBorder="1"/>
    <xf numFmtId="0" fontId="27" fillId="0" borderId="49" xfId="0" applyFont="1" applyBorder="1"/>
    <xf numFmtId="179" fontId="39" fillId="7" borderId="26" xfId="0" applyNumberFormat="1" applyFont="1" applyFill="1" applyBorder="1"/>
    <xf numFmtId="204" fontId="27" fillId="0" borderId="27" xfId="0" applyNumberFormat="1" applyFont="1" applyBorder="1"/>
    <xf numFmtId="179" fontId="27" fillId="4" borderId="28" xfId="0" applyNumberFormat="1" applyFont="1" applyFill="1" applyBorder="1"/>
    <xf numFmtId="166" fontId="39" fillId="7" borderId="26" xfId="0" applyNumberFormat="1" applyFont="1" applyFill="1" applyBorder="1" applyAlignment="1">
      <alignment horizontal="right"/>
    </xf>
    <xf numFmtId="205" fontId="43" fillId="0" borderId="27" xfId="0" applyNumberFormat="1" applyFont="1" applyBorder="1"/>
    <xf numFmtId="166" fontId="27" fillId="4" borderId="28" xfId="0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left"/>
    </xf>
    <xf numFmtId="0" fontId="12" fillId="0" borderId="0" xfId="0" applyFont="1" applyAlignment="1">
      <alignment horizontal="right"/>
    </xf>
    <xf numFmtId="206" fontId="43" fillId="7" borderId="26" xfId="0" applyNumberFormat="1" applyFont="1" applyFill="1" applyBorder="1"/>
    <xf numFmtId="0" fontId="43" fillId="0" borderId="27" xfId="0" applyFont="1" applyBorder="1"/>
    <xf numFmtId="206" fontId="59" fillId="4" borderId="28" xfId="0" applyNumberFormat="1" applyFont="1" applyFill="1" applyBorder="1"/>
    <xf numFmtId="206" fontId="43" fillId="0" borderId="26" xfId="0" applyNumberFormat="1" applyFont="1" applyBorder="1"/>
    <xf numFmtId="206" fontId="59" fillId="0" borderId="28" xfId="0" applyNumberFormat="1" applyFont="1" applyBorder="1"/>
    <xf numFmtId="0" fontId="1" fillId="0" borderId="29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171" fontId="39" fillId="7" borderId="30" xfId="0" applyNumberFormat="1" applyFont="1" applyFill="1" applyBorder="1"/>
    <xf numFmtId="171" fontId="39" fillId="0" borderId="31" xfId="0" applyNumberFormat="1" applyFont="1" applyBorder="1"/>
    <xf numFmtId="171" fontId="27" fillId="4" borderId="50" xfId="0" applyNumberFormat="1" applyFont="1" applyFill="1" applyBorder="1"/>
    <xf numFmtId="171" fontId="39" fillId="7" borderId="26" xfId="0" applyNumberFormat="1" applyFont="1" applyFill="1" applyBorder="1"/>
    <xf numFmtId="171" fontId="39" fillId="0" borderId="27" xfId="0" applyNumberFormat="1" applyFont="1" applyBorder="1"/>
    <xf numFmtId="171" fontId="27" fillId="4" borderId="28" xfId="0" applyNumberFormat="1" applyFont="1" applyFill="1" applyBorder="1"/>
    <xf numFmtId="171" fontId="39" fillId="7" borderId="26" xfId="0" applyNumberFormat="1" applyFont="1" applyFill="1" applyBorder="1" applyAlignment="1">
      <alignment horizontal="right"/>
    </xf>
    <xf numFmtId="171" fontId="27" fillId="4" borderId="28" xfId="0" applyNumberFormat="1" applyFont="1" applyFill="1" applyBorder="1" applyAlignment="1">
      <alignment horizontal="right"/>
    </xf>
    <xf numFmtId="0" fontId="51" fillId="0" borderId="51" xfId="0" applyFont="1" applyBorder="1" applyAlignment="1">
      <alignment horizontal="left"/>
    </xf>
    <xf numFmtId="0" fontId="51" fillId="0" borderId="52" xfId="0" applyFont="1" applyBorder="1" applyAlignment="1">
      <alignment horizontal="left"/>
    </xf>
    <xf numFmtId="171" fontId="57" fillId="7" borderId="53" xfId="0" applyNumberFormat="1" applyFont="1" applyFill="1" applyBorder="1"/>
    <xf numFmtId="171" fontId="57" fillId="0" borderId="54" xfId="0" applyNumberFormat="1" applyFont="1" applyBorder="1"/>
    <xf numFmtId="171" fontId="58" fillId="4" borderId="55" xfId="0" applyNumberFormat="1" applyFont="1" applyFill="1" applyBorder="1"/>
    <xf numFmtId="0" fontId="53" fillId="0" borderId="44" xfId="0" applyFont="1" applyBorder="1" applyAlignment="1">
      <alignment horizontal="left"/>
    </xf>
    <xf numFmtId="0" fontId="53" fillId="0" borderId="45" xfId="0" applyFont="1" applyBorder="1"/>
    <xf numFmtId="0" fontId="53" fillId="0" borderId="48" xfId="0" applyFont="1" applyBorder="1"/>
    <xf numFmtId="0" fontId="61" fillId="0" borderId="0" xfId="0" applyFont="1" applyAlignment="1">
      <alignment horizontal="right"/>
    </xf>
    <xf numFmtId="176" fontId="61" fillId="0" borderId="0" xfId="0" applyNumberFormat="1" applyFont="1"/>
    <xf numFmtId="207" fontId="53" fillId="0" borderId="0" xfId="0" applyNumberFormat="1" applyFont="1"/>
    <xf numFmtId="177" fontId="61" fillId="0" borderId="0" xfId="0" applyNumberFormat="1" applyFont="1" applyAlignment="1">
      <alignment horizontal="right"/>
    </xf>
    <xf numFmtId="0" fontId="61" fillId="0" borderId="0" xfId="0" applyFont="1"/>
    <xf numFmtId="0" fontId="49" fillId="9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171" fontId="13" fillId="0" borderId="0" xfId="0" applyNumberFormat="1" applyFont="1"/>
    <xf numFmtId="0" fontId="62" fillId="0" borderId="0" xfId="0" applyFont="1"/>
    <xf numFmtId="201" fontId="13" fillId="0" borderId="0" xfId="0" applyNumberFormat="1" applyFont="1"/>
    <xf numFmtId="0" fontId="22" fillId="0" borderId="0" xfId="0" applyFont="1"/>
    <xf numFmtId="0" fontId="13" fillId="0" borderId="56" xfId="0" applyFont="1" applyBorder="1"/>
    <xf numFmtId="0" fontId="13" fillId="0" borderId="57" xfId="0" applyFont="1" applyBorder="1"/>
    <xf numFmtId="166" fontId="13" fillId="0" borderId="0" xfId="0" applyNumberFormat="1" applyFont="1"/>
    <xf numFmtId="169" fontId="13" fillId="0" borderId="0" xfId="0" applyNumberFormat="1" applyFont="1"/>
    <xf numFmtId="0" fontId="13" fillId="10" borderId="0" xfId="0" applyFont="1" applyFill="1"/>
    <xf numFmtId="175" fontId="13" fillId="10" borderId="0" xfId="0" applyNumberFormat="1" applyFont="1" applyFill="1"/>
    <xf numFmtId="187" fontId="13" fillId="11" borderId="0" xfId="0" applyNumberFormat="1" applyFont="1" applyFill="1"/>
    <xf numFmtId="0" fontId="13" fillId="0" borderId="9" xfId="0" applyFont="1" applyBorder="1"/>
    <xf numFmtId="0" fontId="42" fillId="0" borderId="58" xfId="0" applyFont="1" applyBorder="1" applyAlignment="1">
      <alignment horizontal="left" vertical="top"/>
    </xf>
    <xf numFmtId="208" fontId="13" fillId="0" borderId="59" xfId="0" applyNumberFormat="1" applyFont="1" applyBorder="1"/>
    <xf numFmtId="201" fontId="13" fillId="10" borderId="0" xfId="0" applyNumberFormat="1" applyFont="1" applyFill="1"/>
    <xf numFmtId="0" fontId="13" fillId="0" borderId="37" xfId="0" applyFont="1" applyBorder="1"/>
    <xf numFmtId="187" fontId="13" fillId="0" borderId="0" xfId="0" applyNumberFormat="1" applyFont="1"/>
    <xf numFmtId="0" fontId="42" fillId="0" borderId="58" xfId="0" applyFont="1" applyBorder="1" applyAlignment="1">
      <alignment horizontal="left" vertical="top" wrapText="1"/>
    </xf>
    <xf numFmtId="0" fontId="63" fillId="12" borderId="0" xfId="0" applyFont="1" applyFill="1" applyAlignment="1">
      <alignment vertical="center"/>
    </xf>
    <xf numFmtId="0" fontId="63" fillId="12" borderId="0" xfId="0" applyFont="1" applyFill="1" applyAlignment="1">
      <alignment vertical="center" wrapText="1"/>
    </xf>
    <xf numFmtId="0" fontId="13" fillId="13" borderId="0" xfId="0" applyFont="1" applyFill="1"/>
    <xf numFmtId="0" fontId="13" fillId="13" borderId="60" xfId="0" applyFont="1" applyFill="1" applyBorder="1" applyAlignment="1">
      <alignment horizontal="center"/>
    </xf>
    <xf numFmtId="0" fontId="13" fillId="13" borderId="9" xfId="0" applyFont="1" applyFill="1" applyBorder="1" applyAlignment="1">
      <alignment horizontal="center"/>
    </xf>
    <xf numFmtId="0" fontId="13" fillId="13" borderId="31" xfId="0" applyFont="1" applyFill="1" applyBorder="1" applyAlignment="1">
      <alignment horizontal="center"/>
    </xf>
    <xf numFmtId="0" fontId="13" fillId="13" borderId="60" xfId="0" applyFont="1" applyFill="1" applyBorder="1"/>
    <xf numFmtId="171" fontId="13" fillId="13" borderId="9" xfId="0" applyNumberFormat="1" applyFont="1" applyFill="1" applyBorder="1"/>
    <xf numFmtId="171" fontId="13" fillId="13" borderId="30" xfId="0" applyNumberFormat="1" applyFont="1" applyFill="1" applyBorder="1"/>
    <xf numFmtId="0" fontId="13" fillId="13" borderId="61" xfId="0" applyFont="1" applyFill="1" applyBorder="1"/>
    <xf numFmtId="171" fontId="13" fillId="13" borderId="0" xfId="0" applyNumberFormat="1" applyFont="1" applyFill="1"/>
    <xf numFmtId="171" fontId="13" fillId="13" borderId="26" xfId="0" applyNumberFormat="1" applyFont="1" applyFill="1" applyBorder="1"/>
    <xf numFmtId="0" fontId="13" fillId="13" borderId="62" xfId="0" applyFont="1" applyFill="1" applyBorder="1"/>
    <xf numFmtId="171" fontId="13" fillId="13" borderId="37" xfId="0" applyNumberFormat="1" applyFont="1" applyFill="1" applyBorder="1"/>
    <xf numFmtId="171" fontId="13" fillId="13" borderId="38" xfId="0" applyNumberFormat="1" applyFont="1" applyFill="1" applyBorder="1"/>
    <xf numFmtId="0" fontId="13" fillId="13" borderId="0" xfId="0" applyFont="1" applyFill="1" applyAlignment="1">
      <alignment horizontal="left" vertical="center"/>
    </xf>
    <xf numFmtId="171" fontId="13" fillId="13" borderId="0" xfId="0" applyNumberFormat="1" applyFont="1" applyFill="1" applyAlignment="1">
      <alignment vertical="center"/>
    </xf>
    <xf numFmtId="209" fontId="13" fillId="13" borderId="0" xfId="0" applyNumberFormat="1" applyFont="1" applyFill="1"/>
    <xf numFmtId="172" fontId="13" fillId="13" borderId="0" xfId="0" applyNumberFormat="1" applyFont="1" applyFill="1"/>
    <xf numFmtId="0" fontId="13" fillId="14" borderId="60" xfId="0" applyFont="1" applyFill="1" applyBorder="1" applyAlignment="1">
      <alignment horizontal="right"/>
    </xf>
    <xf numFmtId="210" fontId="13" fillId="14" borderId="30" xfId="0" applyNumberFormat="1" applyFont="1" applyFill="1" applyBorder="1"/>
    <xf numFmtId="0" fontId="13" fillId="14" borderId="62" xfId="0" applyFont="1" applyFill="1" applyBorder="1" applyAlignment="1">
      <alignment horizontal="right"/>
    </xf>
    <xf numFmtId="211" fontId="13" fillId="14" borderId="38" xfId="0" applyNumberFormat="1" applyFont="1" applyFill="1" applyBorder="1"/>
    <xf numFmtId="0" fontId="42" fillId="0" borderId="63" xfId="0" applyFont="1" applyBorder="1" applyAlignment="1">
      <alignment horizontal="left" vertical="top"/>
    </xf>
    <xf numFmtId="208" fontId="13" fillId="0" borderId="64" xfId="0" applyNumberFormat="1" applyFont="1" applyBorder="1"/>
    <xf numFmtId="176" fontId="64" fillId="5" borderId="0" xfId="0" applyNumberFormat="1" applyFont="1" applyFill="1" applyAlignment="1">
      <alignment horizontal="left"/>
    </xf>
    <xf numFmtId="177" fontId="65" fillId="5" borderId="0" xfId="0" applyNumberFormat="1" applyFont="1" applyFill="1" applyAlignment="1">
      <alignment horizontal="left"/>
    </xf>
    <xf numFmtId="0" fontId="9" fillId="0" borderId="0" xfId="0" applyFont="1" applyAlignment="1">
      <alignment horizontal="left" wrapText="1"/>
    </xf>
    <xf numFmtId="0" fontId="27" fillId="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center"/>
    </xf>
    <xf numFmtId="171" fontId="65" fillId="5" borderId="0" xfId="0" applyNumberFormat="1" applyFont="1" applyFill="1" applyAlignment="1">
      <alignment horizontal="center"/>
    </xf>
    <xf numFmtId="171" fontId="65" fillId="5" borderId="0" xfId="0" applyNumberFormat="1" applyFont="1" applyFill="1"/>
    <xf numFmtId="172" fontId="66" fillId="5" borderId="0" xfId="0" applyNumberFormat="1" applyFont="1" applyFill="1" applyAlignment="1">
      <alignment horizontal="right"/>
    </xf>
    <xf numFmtId="175" fontId="67" fillId="5" borderId="0" xfId="0" applyNumberFormat="1" applyFont="1" applyFill="1" applyAlignment="1">
      <alignment vertical="center"/>
    </xf>
    <xf numFmtId="171" fontId="64" fillId="5" borderId="0" xfId="0" applyNumberFormat="1" applyFont="1" applyFill="1" applyAlignment="1">
      <alignment horizontal="right"/>
    </xf>
    <xf numFmtId="171" fontId="68" fillId="5" borderId="0" xfId="0" applyNumberFormat="1" applyFont="1" applyFill="1"/>
    <xf numFmtId="167" fontId="69" fillId="5" borderId="0" xfId="0" applyNumberFormat="1" applyFont="1" applyFill="1" applyAlignment="1">
      <alignment horizontal="right" vertical="center" wrapText="1"/>
    </xf>
    <xf numFmtId="181" fontId="69" fillId="5" borderId="0" xfId="0" applyNumberFormat="1" applyFont="1" applyFill="1" applyAlignment="1">
      <alignment vertical="center"/>
    </xf>
    <xf numFmtId="179" fontId="70" fillId="5" borderId="0" xfId="0" applyNumberFormat="1" applyFont="1" applyFill="1" applyAlignment="1">
      <alignment horizontal="left"/>
    </xf>
    <xf numFmtId="180" fontId="71" fillId="5" borderId="0" xfId="0" applyNumberFormat="1" applyFont="1" applyFill="1" applyAlignment="1">
      <alignment horizontal="left"/>
    </xf>
    <xf numFmtId="178" fontId="70" fillId="5" borderId="0" xfId="0" applyNumberFormat="1" applyFont="1" applyFill="1" applyAlignment="1">
      <alignment horizontal="left"/>
    </xf>
    <xf numFmtId="182" fontId="65" fillId="5" borderId="0" xfId="0" applyNumberFormat="1" applyFont="1" applyFill="1" applyAlignment="1">
      <alignment horizontal="left"/>
    </xf>
    <xf numFmtId="182" fontId="65" fillId="5" borderId="0" xfId="0" applyNumberFormat="1" applyFont="1" applyFill="1"/>
    <xf numFmtId="176" fontId="64" fillId="5" borderId="14" xfId="0" applyNumberFormat="1" applyFont="1" applyFill="1" applyBorder="1" applyAlignment="1">
      <alignment horizontal="left"/>
    </xf>
    <xf numFmtId="177" fontId="65" fillId="5" borderId="15" xfId="0" applyNumberFormat="1" applyFont="1" applyFill="1" applyBorder="1" applyAlignment="1">
      <alignment horizontal="left"/>
    </xf>
    <xf numFmtId="178" fontId="72" fillId="5" borderId="0" xfId="0" applyNumberFormat="1" applyFont="1" applyFill="1" applyAlignment="1">
      <alignment horizontal="left"/>
    </xf>
    <xf numFmtId="171" fontId="73" fillId="5" borderId="0" xfId="0" applyNumberFormat="1" applyFont="1" applyFill="1" applyAlignment="1">
      <alignment horizontal="right"/>
    </xf>
    <xf numFmtId="172" fontId="74" fillId="5" borderId="0" xfId="0" applyNumberFormat="1" applyFont="1" applyFill="1" applyAlignment="1">
      <alignment horizontal="right"/>
    </xf>
    <xf numFmtId="171" fontId="75" fillId="5" borderId="0" xfId="0" applyNumberFormat="1" applyFont="1" applyFill="1"/>
    <xf numFmtId="175" fontId="76" fillId="5" borderId="0" xfId="0" applyNumberFormat="1" applyFont="1" applyFill="1"/>
    <xf numFmtId="167" fontId="77" fillId="5" borderId="0" xfId="0" applyNumberFormat="1" applyFont="1" applyFill="1" applyAlignment="1">
      <alignment horizontal="right" vertical="center" wrapText="1"/>
    </xf>
    <xf numFmtId="181" fontId="77" fillId="5" borderId="0" xfId="0" applyNumberFormat="1" applyFont="1" applyFill="1" applyAlignment="1">
      <alignment vertical="center"/>
    </xf>
    <xf numFmtId="179" fontId="72" fillId="5" borderId="0" xfId="0" applyNumberFormat="1" applyFont="1" applyFill="1" applyAlignment="1">
      <alignment horizontal="left"/>
    </xf>
    <xf numFmtId="180" fontId="78" fillId="5" borderId="0" xfId="0" applyNumberFormat="1" applyFont="1" applyFill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FF4C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en-IE" sz="1000"/>
              <a:t>COST OF YOUR IMPROVED TREATMENT EFFICACY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'Detailed results'!$C$53</c:f>
              <c:strCache>
                <c:ptCount val="1"/>
                <c:pt idx="0">
                  <c:v>CHEMICALS</c:v>
                </c:pt>
              </c:strCache>
            </c:strRef>
          </c:tx>
          <c:invertIfNegative val="0"/>
          <c:cat>
            <c:strRef>
              <c:f>('Detailed results'!$D$52,'Detailed results'!$G$52,'Detailed results'!$H$52)</c:f>
              <c:strCache>
                <c:ptCount val="3"/>
                <c:pt idx="0">
                  <c:v>TODAY -  gpa</c:v>
                </c:pt>
                <c:pt idx="1">
                  <c:v>WITH MAGROWTEC -  gpa</c:v>
                </c:pt>
                <c:pt idx="2">
                  <c:v>WITHOUT MAGROWTEC -  gpa</c:v>
                </c:pt>
              </c:strCache>
            </c:strRef>
          </c:cat>
          <c:val>
            <c:numRef>
              <c:f>('Detailed results'!$D$53,'Detailed results'!$G$53,'Detailed results'!$H$53)</c:f>
              <c:numCache>
                <c:formatCode>General</c:formatCode>
                <c:ptCount val="3"/>
                <c:pt idx="0" formatCode="&quot;$&quot;#,##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0-024C-B505-3DFDC92B251D}"/>
            </c:ext>
          </c:extLst>
        </c:ser>
        <c:ser>
          <c:idx val="1"/>
          <c:order val="1"/>
          <c:tx>
            <c:strRef>
              <c:f>'Detailed results'!$C$54</c:f>
              <c:strCache>
                <c:ptCount val="1"/>
                <c:pt idx="0">
                  <c:v>LABOR</c:v>
                </c:pt>
              </c:strCache>
            </c:strRef>
          </c:tx>
          <c:invertIfNegative val="0"/>
          <c:cat>
            <c:strRef>
              <c:f>('Detailed results'!$D$52,'Detailed results'!$G$52,'Detailed results'!$H$52)</c:f>
              <c:strCache>
                <c:ptCount val="3"/>
                <c:pt idx="0">
                  <c:v>TODAY -  gpa</c:v>
                </c:pt>
                <c:pt idx="1">
                  <c:v>WITH MAGROWTEC -  gpa</c:v>
                </c:pt>
                <c:pt idx="2">
                  <c:v>WITHOUT MAGROWTEC -  gpa</c:v>
                </c:pt>
              </c:strCache>
            </c:strRef>
          </c:cat>
          <c:val>
            <c:numRef>
              <c:f>('Detailed results'!$D$54,'Detailed results'!$G$54,'Detailed results'!$H$54)</c:f>
              <c:numCache>
                <c:formatCode>General</c:formatCode>
                <c:ptCount val="3"/>
                <c:pt idx="0" formatCode="&quot;$&quot;#,##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0-024C-B505-3DFDC92B251D}"/>
            </c:ext>
          </c:extLst>
        </c:ser>
        <c:ser>
          <c:idx val="2"/>
          <c:order val="2"/>
          <c:tx>
            <c:strRef>
              <c:f>'Detailed results'!$C$55</c:f>
              <c:strCache>
                <c:ptCount val="1"/>
                <c:pt idx="0">
                  <c:v>FUEL</c:v>
                </c:pt>
              </c:strCache>
            </c:strRef>
          </c:tx>
          <c:invertIfNegative val="0"/>
          <c:cat>
            <c:strRef>
              <c:f>('Detailed results'!$D$52,'Detailed results'!$G$52,'Detailed results'!$H$52)</c:f>
              <c:strCache>
                <c:ptCount val="3"/>
                <c:pt idx="0">
                  <c:v>TODAY -  gpa</c:v>
                </c:pt>
                <c:pt idx="1">
                  <c:v>WITH MAGROWTEC -  gpa</c:v>
                </c:pt>
                <c:pt idx="2">
                  <c:v>WITHOUT MAGROWTEC -  gpa</c:v>
                </c:pt>
              </c:strCache>
            </c:strRef>
          </c:cat>
          <c:val>
            <c:numRef>
              <c:f>('Detailed results'!$D$55,'Detailed results'!$G$55,'Detailed results'!$H$55)</c:f>
              <c:numCache>
                <c:formatCode>General</c:formatCode>
                <c:ptCount val="3"/>
                <c:pt idx="0" formatCode="&quot;$&quot;#,##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0-024C-B505-3DFDC92B251D}"/>
            </c:ext>
          </c:extLst>
        </c:ser>
        <c:ser>
          <c:idx val="3"/>
          <c:order val="3"/>
          <c:tx>
            <c:strRef>
              <c:f>'Detailed results'!$C$56</c:f>
              <c:strCache>
                <c:ptCount val="1"/>
                <c:pt idx="0">
                  <c:v>EQUIPMENT</c:v>
                </c:pt>
              </c:strCache>
            </c:strRef>
          </c:tx>
          <c:invertIfNegative val="0"/>
          <c:cat>
            <c:strRef>
              <c:f>('Detailed results'!$D$52,'Detailed results'!$G$52,'Detailed results'!$H$52)</c:f>
              <c:strCache>
                <c:ptCount val="3"/>
                <c:pt idx="0">
                  <c:v>TODAY -  gpa</c:v>
                </c:pt>
                <c:pt idx="1">
                  <c:v>WITH MAGROWTEC -  gpa</c:v>
                </c:pt>
                <c:pt idx="2">
                  <c:v>WITHOUT MAGROWTEC -  gpa</c:v>
                </c:pt>
              </c:strCache>
            </c:strRef>
          </c:cat>
          <c:val>
            <c:numRef>
              <c:f>('Detailed results'!$D$56,'Detailed results'!$G$56,'Detailed results'!$H$56)</c:f>
              <c:numCache>
                <c:formatCode>General</c:formatCode>
                <c:ptCount val="3"/>
                <c:pt idx="0" formatCode="&quot;$&quot;#,##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0-024C-B505-3DFDC92B251D}"/>
            </c:ext>
          </c:extLst>
        </c:ser>
        <c:ser>
          <c:idx val="4"/>
          <c:order val="4"/>
          <c:tx>
            <c:strRef>
              <c:f>'Detailed results'!$C$57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cat>
            <c:strRef>
              <c:f>('Detailed results'!$D$52,'Detailed results'!$G$52,'Detailed results'!$H$52)</c:f>
              <c:strCache>
                <c:ptCount val="3"/>
                <c:pt idx="0">
                  <c:v>TODAY -  gpa</c:v>
                </c:pt>
                <c:pt idx="1">
                  <c:v>WITH MAGROWTEC -  gpa</c:v>
                </c:pt>
                <c:pt idx="2">
                  <c:v>WITHOUT MAGROWTEC -  gpa</c:v>
                </c:pt>
              </c:strCache>
            </c:strRef>
          </c:cat>
          <c:val>
            <c:numRef>
              <c:f>('Detailed results'!$D$57,'Detailed results'!$G$57,'Detailed results'!$H$57)</c:f>
              <c:numCache>
                <c:formatCode>General</c:formatCode>
                <c:ptCount val="3"/>
                <c:pt idx="0" formatCode="&quot;$&quot;#,##0">
                  <c:v>0</c:v>
                </c:pt>
                <c:pt idx="1">
                  <c:v>0</c:v>
                </c:pt>
                <c:pt idx="2" formatCode="&quot;$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0-024C-B505-3DFDC92B2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39819413"/>
        <c:axId val="215199964"/>
      </c:barChart>
      <c:catAx>
        <c:axId val="13981941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15199964"/>
        <c:crosses val="autoZero"/>
        <c:auto val="1"/>
        <c:lblAlgn val="ctr"/>
        <c:lblOffset val="100"/>
        <c:noMultiLvlLbl val="1"/>
      </c:catAx>
      <c:valAx>
        <c:axId val="215199964"/>
        <c:scaling>
          <c:orientation val="minMax"/>
        </c:scaling>
        <c:delete val="0"/>
        <c:axPos val="t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39819413"/>
        <c:crosses val="autoZero"/>
        <c:crossBetween val="between"/>
        <c:dispUnits>
          <c:builtInUnit val="thousands"/>
          <c:dispUnitsLbl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</c:dispUnitsLbl>
        </c:dispUnits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en-IE" sz="1200"/>
              <a:t>CROP PROTECTION COSTS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'Detailed results'!$C$53</c:f>
              <c:strCache>
                <c:ptCount val="1"/>
                <c:pt idx="0">
                  <c:v>CHEMICALS</c:v>
                </c:pt>
              </c:strCache>
            </c:strRef>
          </c:tx>
          <c:invertIfNegative val="0"/>
          <c:cat>
            <c:strRef>
              <c:f>('Detailed results'!$D$52,'Detailed results'!$F$52)</c:f>
              <c:strCache>
                <c:ptCount val="2"/>
                <c:pt idx="0">
                  <c:v>TODAY -  gpa</c:v>
                </c:pt>
                <c:pt idx="1">
                  <c:v>WITH MAGROWTEC -  gpa</c:v>
                </c:pt>
              </c:strCache>
            </c:strRef>
          </c:cat>
          <c:val>
            <c:numRef>
              <c:f>('Detailed results'!$D$53,'Detailed results'!$F$53)</c:f>
              <c:numCache>
                <c:formatCode>General</c:formatCode>
                <c:ptCount val="2"/>
                <c:pt idx="0" formatCode="&quot;$&quot;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5-7240-82AC-F864F5B6A20A}"/>
            </c:ext>
          </c:extLst>
        </c:ser>
        <c:ser>
          <c:idx val="1"/>
          <c:order val="1"/>
          <c:tx>
            <c:strRef>
              <c:f>'Detailed results'!$C$54</c:f>
              <c:strCache>
                <c:ptCount val="1"/>
                <c:pt idx="0">
                  <c:v>LABOR</c:v>
                </c:pt>
              </c:strCache>
            </c:strRef>
          </c:tx>
          <c:invertIfNegative val="0"/>
          <c:cat>
            <c:strRef>
              <c:f>('Detailed results'!$D$52,'Detailed results'!$F$52)</c:f>
              <c:strCache>
                <c:ptCount val="2"/>
                <c:pt idx="0">
                  <c:v>TODAY -  gpa</c:v>
                </c:pt>
                <c:pt idx="1">
                  <c:v>WITH MAGROWTEC -  gpa</c:v>
                </c:pt>
              </c:strCache>
            </c:strRef>
          </c:cat>
          <c:val>
            <c:numRef>
              <c:f>('Detailed results'!$D$54,'Detailed results'!$F$54)</c:f>
              <c:numCache>
                <c:formatCode>General</c:formatCode>
                <c:ptCount val="2"/>
                <c:pt idx="0" formatCode="&quot;$&quot;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5-7240-82AC-F864F5B6A20A}"/>
            </c:ext>
          </c:extLst>
        </c:ser>
        <c:ser>
          <c:idx val="2"/>
          <c:order val="2"/>
          <c:tx>
            <c:strRef>
              <c:f>'Detailed results'!$C$55</c:f>
              <c:strCache>
                <c:ptCount val="1"/>
                <c:pt idx="0">
                  <c:v>FUEL</c:v>
                </c:pt>
              </c:strCache>
            </c:strRef>
          </c:tx>
          <c:invertIfNegative val="0"/>
          <c:cat>
            <c:strRef>
              <c:f>('Detailed results'!$D$52,'Detailed results'!$F$52)</c:f>
              <c:strCache>
                <c:ptCount val="2"/>
                <c:pt idx="0">
                  <c:v>TODAY -  gpa</c:v>
                </c:pt>
                <c:pt idx="1">
                  <c:v>WITH MAGROWTEC -  gpa</c:v>
                </c:pt>
              </c:strCache>
            </c:strRef>
          </c:cat>
          <c:val>
            <c:numRef>
              <c:f>('Detailed results'!$D$55,'Detailed results'!$F$55)</c:f>
              <c:numCache>
                <c:formatCode>General</c:formatCode>
                <c:ptCount val="2"/>
                <c:pt idx="0" formatCode="&quot;$&quot;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5-7240-82AC-F864F5B6A20A}"/>
            </c:ext>
          </c:extLst>
        </c:ser>
        <c:ser>
          <c:idx val="3"/>
          <c:order val="3"/>
          <c:tx>
            <c:strRef>
              <c:f>'Detailed results'!$C$56</c:f>
              <c:strCache>
                <c:ptCount val="1"/>
                <c:pt idx="0">
                  <c:v>EQUIPMENT</c:v>
                </c:pt>
              </c:strCache>
            </c:strRef>
          </c:tx>
          <c:invertIfNegative val="0"/>
          <c:cat>
            <c:strRef>
              <c:f>('Detailed results'!$D$52,'Detailed results'!$F$52)</c:f>
              <c:strCache>
                <c:ptCount val="2"/>
                <c:pt idx="0">
                  <c:v>TODAY -  gpa</c:v>
                </c:pt>
                <c:pt idx="1">
                  <c:v>WITH MAGROWTEC -  gpa</c:v>
                </c:pt>
              </c:strCache>
            </c:strRef>
          </c:cat>
          <c:val>
            <c:numRef>
              <c:f>('Detailed results'!$D$56,'Detailed results'!$F$56)</c:f>
              <c:numCache>
                <c:formatCode>"$"#,##0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05-7240-82AC-F864F5B6A20A}"/>
            </c:ext>
          </c:extLst>
        </c:ser>
        <c:ser>
          <c:idx val="4"/>
          <c:order val="4"/>
          <c:tx>
            <c:strRef>
              <c:f>'Detailed results'!$C$57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cat>
            <c:strRef>
              <c:f>('Detailed results'!$D$52,'Detailed results'!$F$52)</c:f>
              <c:strCache>
                <c:ptCount val="2"/>
                <c:pt idx="0">
                  <c:v>TODAY -  gpa</c:v>
                </c:pt>
                <c:pt idx="1">
                  <c:v>WITH MAGROWTEC -  gpa</c:v>
                </c:pt>
              </c:strCache>
            </c:strRef>
          </c:cat>
          <c:val>
            <c:numRef>
              <c:f>('Detailed results'!$D$57,'Detailed results'!$F$57)</c:f>
              <c:numCache>
                <c:formatCode>"$"#,##0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05-7240-82AC-F864F5B6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480505420"/>
        <c:axId val="809301463"/>
      </c:barChart>
      <c:catAx>
        <c:axId val="4805054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809301463"/>
        <c:crosses val="autoZero"/>
        <c:auto val="1"/>
        <c:lblAlgn val="ctr"/>
        <c:lblOffset val="100"/>
        <c:noMultiLvlLbl val="1"/>
      </c:catAx>
      <c:valAx>
        <c:axId val="809301463"/>
        <c:scaling>
          <c:orientation val="minMax"/>
        </c:scaling>
        <c:delete val="0"/>
        <c:axPos val="t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/>
          <a:lstStyle/>
          <a:p>
            <a:pPr>
              <a:defRPr sz="900"/>
            </a:pPr>
            <a:endParaRPr lang="en-US"/>
          </a:p>
        </c:txPr>
        <c:crossAx val="480505420"/>
        <c:crosses val="autoZero"/>
        <c:crossBetween val="between"/>
        <c:dispUnits>
          <c:builtInUnit val="thousands"/>
          <c:dispUnitsLbl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</c:dispUnitsLbl>
        </c:dispUnits>
      </c:valAx>
    </c:plotArea>
    <c:legend>
      <c:legendPos val="b"/>
      <c:overlay val="0"/>
    </c:legend>
    <c:plotVisOnly val="1"/>
    <c:dispBlanksAs val="gap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1393606</xdr:colOff>
      <xdr:row>28</xdr:row>
      <xdr:rowOff>29635</xdr:rowOff>
    </xdr:from>
    <xdr:to>
      <xdr:col>2</xdr:col>
      <xdr:colOff>308195</xdr:colOff>
      <xdr:row>29</xdr:row>
      <xdr:rowOff>24733</xdr:rowOff>
    </xdr:to>
    <xdr:pic>
      <xdr:nvPicPr>
        <xdr:cNvPr id="5" name="Water Icon Vector Symbol Design Illustration 26627432 Vector Art ..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6739" y="5803902"/>
          <a:ext cx="311589" cy="240631"/>
        </a:xfrm>
        <a:prstGeom prst="rect">
          <a:avLst/>
        </a:prstGeom>
      </xdr:spPr>
    </xdr:pic>
    <xdr:clientData/>
  </xdr:twoCellAnchor>
  <xdr:twoCellAnchor editAs="oneCell">
    <xdr:from>
      <xdr:col>4</xdr:col>
      <xdr:colOff>46098</xdr:colOff>
      <xdr:row>28</xdr:row>
      <xdr:rowOff>29635</xdr:rowOff>
    </xdr:from>
    <xdr:to>
      <xdr:col>4</xdr:col>
      <xdr:colOff>411103</xdr:colOff>
      <xdr:row>29</xdr:row>
      <xdr:rowOff>24733</xdr:rowOff>
    </xdr:to>
    <xdr:pic>
      <xdr:nvPicPr>
        <xdr:cNvPr id="6" name="Crop Protection Icons - Free SVG &amp;amp; PNG Crop Protection Images ..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431" y="5803902"/>
          <a:ext cx="365005" cy="24063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75</xdr:row>
      <xdr:rowOff>88900</xdr:rowOff>
    </xdr:from>
    <xdr:ext cx="4686300" cy="2651760"/>
    <xdr:graphicFrame macro="">
      <xdr:nvGraphicFramePr>
        <xdr:cNvPr id="7" name="image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30480</xdr:colOff>
      <xdr:row>45</xdr:row>
      <xdr:rowOff>101600</xdr:rowOff>
    </xdr:from>
    <xdr:ext cx="4617720" cy="2589784"/>
    <xdr:graphicFrame macro="">
      <xdr:nvGraphicFramePr>
        <xdr:cNvPr id="8" name="image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4</xdr:col>
      <xdr:colOff>457200</xdr:colOff>
      <xdr:row>81</xdr:row>
      <xdr:rowOff>61976</xdr:rowOff>
    </xdr:from>
    <xdr:ext cx="670560" cy="603504"/>
    <xdr:pic>
      <xdr:nvPicPr>
        <xdr:cNvPr id="2" name="High coverag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8300" y="17410176"/>
          <a:ext cx="670560" cy="603504"/>
        </a:xfrm>
        <a:prstGeom prst="rect">
          <a:avLst/>
        </a:prstGeom>
        <a:noFill/>
      </xdr:spPr>
    </xdr:pic>
    <xdr:clientData/>
  </xdr:oneCellAnchor>
  <xdr:oneCellAnchor>
    <xdr:from>
      <xdr:col>4</xdr:col>
      <xdr:colOff>457200</xdr:colOff>
      <xdr:row>79</xdr:row>
      <xdr:rowOff>25908</xdr:rowOff>
    </xdr:from>
    <xdr:ext cx="670560" cy="603504"/>
    <xdr:pic>
      <xdr:nvPicPr>
        <xdr:cNvPr id="3" name="Low coverag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8300" y="16967708"/>
          <a:ext cx="670560" cy="603504"/>
        </a:xfrm>
        <a:prstGeom prst="rect">
          <a:avLst/>
        </a:prstGeom>
        <a:noFill/>
      </xdr:spPr>
    </xdr:pic>
    <xdr:clientData/>
  </xdr:oneCellAnchor>
  <xdr:oneCellAnchor>
    <xdr:from>
      <xdr:col>4</xdr:col>
      <xdr:colOff>457200</xdr:colOff>
      <xdr:row>83</xdr:row>
      <xdr:rowOff>131064</xdr:rowOff>
    </xdr:from>
    <xdr:ext cx="670560" cy="603504"/>
    <xdr:pic>
      <xdr:nvPicPr>
        <xdr:cNvPr id="4" name="imag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8300" y="17885664"/>
          <a:ext cx="670560" cy="60350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MagrowTec">
      <a:dk1>
        <a:srgbClr val="13322C"/>
      </a:dk1>
      <a:lt1>
        <a:srgbClr val="FFFFFF"/>
      </a:lt1>
      <a:dk2>
        <a:srgbClr val="57B847"/>
      </a:dk2>
      <a:lt2>
        <a:srgbClr val="B9BF1D"/>
      </a:lt2>
      <a:accent1>
        <a:srgbClr val="007BC3"/>
      </a:accent1>
      <a:accent2>
        <a:srgbClr val="CA144B"/>
      </a:accent2>
      <a:accent3>
        <a:srgbClr val="57B847"/>
      </a:accent3>
      <a:accent4>
        <a:srgbClr val="B9BF1D"/>
      </a:accent4>
      <a:accent5>
        <a:srgbClr val="D3AE92"/>
      </a:accent5>
      <a:accent6>
        <a:srgbClr val="FFDD00"/>
      </a:accent6>
      <a:hlink>
        <a:srgbClr val="B9BF1D"/>
      </a:hlink>
      <a:folHlink>
        <a:srgbClr val="007BC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7BC1E"/>
  </sheetPr>
  <dimension ref="A1:ANK137"/>
  <sheetViews>
    <sheetView showGridLines="0" tabSelected="1" defaultGridColor="0" colorId="26" zoomScale="150" workbookViewId="0">
      <selection activeCell="B3" sqref="B3"/>
    </sheetView>
  </sheetViews>
  <sheetFormatPr baseColWidth="10" defaultRowHeight="16" outlineLevelRow="1" x14ac:dyDescent="0.2"/>
  <cols>
    <col min="1" max="1" width="1.1640625"/>
    <col min="2" max="2" width="18.33203125" style="1"/>
    <col min="3" max="3" width="11.6640625" style="1"/>
    <col min="4" max="4" width="17.6640625" style="1"/>
    <col min="5" max="5" width="13.6640625" style="1"/>
    <col min="6" max="8" width="0" style="1" hidden="1"/>
    <col min="9" max="1024" width="0" hidden="1"/>
    <col min="1025" max="2048" width="10.6640625"/>
  </cols>
  <sheetData>
    <row r="1" spans="1:16 1026:1051" ht="1" customHeight="1" x14ac:dyDescent="0.2">
      <c r="B1" s="2"/>
    </row>
    <row r="2" spans="1:16 1026:1051" ht="1" customHeight="1" x14ac:dyDescent="0.2">
      <c r="B2" s="2"/>
    </row>
    <row r="3" spans="1:16 1026:1051" ht="24" customHeight="1" x14ac:dyDescent="0.2">
      <c r="B3" s="3" t="s">
        <v>0</v>
      </c>
      <c r="C3" s="4"/>
      <c r="D3" s="4"/>
      <c r="E3" s="4"/>
      <c r="F3" s="5"/>
      <c r="G3" s="5"/>
      <c r="H3" s="5"/>
    </row>
    <row r="4" spans="1:16 1026:1051" ht="8" customHeight="1" x14ac:dyDescent="0.25">
      <c r="B4" s="6"/>
      <c r="C4" s="7"/>
      <c r="D4" s="7"/>
      <c r="E4" s="7"/>
      <c r="F4" s="7"/>
      <c r="P4" s="8"/>
    </row>
    <row r="5" spans="1:16 1026:1051" s="9" customFormat="1" ht="19" x14ac:dyDescent="0.2">
      <c r="B5" s="10" t="s">
        <v>1</v>
      </c>
      <c r="C5" s="11"/>
      <c r="D5" s="10" t="s">
        <v>2</v>
      </c>
      <c r="E5" s="12"/>
      <c r="F5" s="1"/>
      <c r="G5" s="13"/>
      <c r="H5" s="14"/>
      <c r="I5" s="15"/>
      <c r="J5" s="16"/>
      <c r="L5" s="15"/>
      <c r="M5" s="15"/>
      <c r="N5" s="15"/>
      <c r="O5" s="15"/>
      <c r="P5" s="8"/>
    </row>
    <row r="6" spans="1:16 1026:1051" s="9" customFormat="1" ht="19" x14ac:dyDescent="0.2">
      <c r="B6" s="17"/>
      <c r="C6" s="11"/>
      <c r="D6" s="18"/>
      <c r="E6" s="19" t="s">
        <v>3</v>
      </c>
      <c r="F6" s="1"/>
      <c r="G6" s="13"/>
      <c r="H6" s="14"/>
      <c r="I6" s="20"/>
      <c r="J6" s="16"/>
      <c r="L6" s="20"/>
      <c r="M6" s="20"/>
      <c r="N6" s="20"/>
      <c r="O6" s="20"/>
      <c r="P6" s="8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</row>
    <row r="7" spans="1:16 1026:1051" ht="9" customHeight="1" x14ac:dyDescent="0.2">
      <c r="B7" s="21"/>
      <c r="P7" s="8"/>
    </row>
    <row r="8" spans="1:16 1026:1051" s="22" customFormat="1" ht="32" x14ac:dyDescent="0.2">
      <c r="B8" s="23" t="s">
        <v>4</v>
      </c>
      <c r="C8" s="23" t="s">
        <v>5</v>
      </c>
      <c r="D8" s="23" t="s">
        <v>6</v>
      </c>
      <c r="E8" s="24" t="s">
        <v>7</v>
      </c>
      <c r="G8" s="1"/>
      <c r="H8" s="1"/>
      <c r="I8" s="15"/>
      <c r="J8" s="15"/>
      <c r="K8" s="25"/>
    </row>
    <row r="9" spans="1:16 1026:1051" x14ac:dyDescent="0.2">
      <c r="B9" s="26"/>
      <c r="C9" s="27"/>
      <c r="D9" s="28"/>
      <c r="E9" s="29"/>
      <c r="K9" s="30"/>
    </row>
    <row r="10" spans="1:16 1026:1051" x14ac:dyDescent="0.2">
      <c r="B10" s="31"/>
      <c r="C10" s="32"/>
      <c r="D10" s="33"/>
      <c r="E10" s="34"/>
      <c r="K10" s="30"/>
    </row>
    <row r="11" spans="1:16 1026:1051" x14ac:dyDescent="0.2">
      <c r="B11" s="31"/>
      <c r="C11" s="32"/>
      <c r="D11" s="33"/>
      <c r="E11" s="34"/>
      <c r="K11" s="30"/>
    </row>
    <row r="12" spans="1:16 1026:1051" x14ac:dyDescent="0.2">
      <c r="B12" s="31"/>
      <c r="C12" s="32"/>
      <c r="D12" s="33"/>
      <c r="E12" s="34"/>
      <c r="K12" s="30"/>
    </row>
    <row r="13" spans="1:16 1026:1051" ht="1" customHeight="1" x14ac:dyDescent="0.2">
      <c r="A13" s="1"/>
      <c r="B13" s="35"/>
      <c r="C13" s="35"/>
      <c r="D13" s="35"/>
      <c r="E13" s="35"/>
      <c r="K13" s="30"/>
    </row>
    <row r="14" spans="1:16 1026:1051" ht="16" customHeight="1" x14ac:dyDescent="0.2">
      <c r="B14" s="36" t="s">
        <v>8</v>
      </c>
      <c r="C14" s="37" t="str">
        <f>IF(SUM(C9:C12)=0,"",SUM(C9:C12))</f>
        <v/>
      </c>
      <c r="D14" s="37" t="str">
        <f>IFERROR(AVERAGE(D9:D12),"")</f>
        <v/>
      </c>
      <c r="E14" s="38">
        <f>SUMPRODUCT(C9:C12,D9:D12,E9:E12)</f>
        <v>0</v>
      </c>
      <c r="K14" s="30"/>
    </row>
    <row r="15" spans="1:16 1026:1051" ht="14" customHeight="1" x14ac:dyDescent="0.2">
      <c r="C15" s="39"/>
      <c r="E15" s="40" t="str">
        <f>IFERROR((E14/C14)/D14,"")</f>
        <v/>
      </c>
      <c r="K15" s="30"/>
    </row>
    <row r="16" spans="1:16 1026:1051" ht="7" customHeight="1" x14ac:dyDescent="0.2">
      <c r="K16" s="30"/>
    </row>
    <row r="17" spans="2:16" x14ac:dyDescent="0.2">
      <c r="B17" s="307" t="s">
        <v>10</v>
      </c>
      <c r="C17" s="307"/>
      <c r="D17" s="10" t="s">
        <v>11</v>
      </c>
      <c r="K17" s="30"/>
    </row>
    <row r="18" spans="2:16" ht="19" x14ac:dyDescent="0.2">
      <c r="B18" s="41"/>
      <c r="C18" s="42" t="str">
        <f>IFERROR(B18/C14,"")</f>
        <v/>
      </c>
      <c r="D18" s="43"/>
      <c r="E18" s="44" t="str">
        <f>IFERROR(C14*D18,"")</f>
        <v/>
      </c>
      <c r="K18" s="30"/>
    </row>
    <row r="19" spans="2:16" ht="48" customHeight="1" x14ac:dyDescent="0.2"/>
    <row r="20" spans="2:16" ht="26" x14ac:dyDescent="0.2">
      <c r="B20" s="309" t="s">
        <v>12</v>
      </c>
      <c r="C20" s="309"/>
      <c r="D20" s="309"/>
      <c r="E20" s="309"/>
    </row>
    <row r="21" spans="2:16" ht="5" customHeight="1" x14ac:dyDescent="0.2"/>
    <row r="22" spans="2:16" outlineLevel="1" x14ac:dyDescent="0.2">
      <c r="B22" s="45" t="s">
        <v>13</v>
      </c>
      <c r="C22" s="46"/>
      <c r="D22" s="47" t="s">
        <v>14</v>
      </c>
      <c r="E22" s="47" t="s">
        <v>15</v>
      </c>
      <c r="F22" s="10"/>
    </row>
    <row r="23" spans="2:16" outlineLevel="1" x14ac:dyDescent="0.2">
      <c r="B23" s="310" t="str">
        <f>IFERROR(Settings!G53,"")</f>
        <v/>
      </c>
      <c r="C23" s="48"/>
      <c r="D23" s="311" t="str">
        <f>IFERROR(B23/'Refine Calculation'!E22,"")</f>
        <v/>
      </c>
      <c r="E23" s="311" t="str">
        <f>IFERROR(-PMT(0.0399,'Refine Calculation'!E22,B23*0.9),"")</f>
        <v/>
      </c>
    </row>
    <row r="24" spans="2:16" outlineLevel="1" x14ac:dyDescent="0.2">
      <c r="B24" s="48"/>
      <c r="C24" s="48"/>
      <c r="D24" s="312" t="str">
        <f>IFERROR(D23/C14,"")</f>
        <v/>
      </c>
      <c r="E24" s="312" t="str">
        <f>IFERROR(E23/C14,"")</f>
        <v/>
      </c>
    </row>
    <row r="25" spans="2:16" ht="4" customHeight="1" outlineLevel="1" x14ac:dyDescent="0.2"/>
    <row r="26" spans="2:16" ht="35" customHeight="1" x14ac:dyDescent="0.2">
      <c r="B26" s="308" t="s">
        <v>16</v>
      </c>
      <c r="C26" s="308"/>
      <c r="D26" s="313" t="str">
        <f>IFERROR(D23/B18,"")</f>
        <v/>
      </c>
      <c r="E26" s="313" t="str">
        <f>IFERROR(E23/B18,"")</f>
        <v/>
      </c>
    </row>
    <row r="27" spans="2:16" ht="9" customHeight="1" x14ac:dyDescent="0.2"/>
    <row r="28" spans="2:16" ht="26" x14ac:dyDescent="0.25">
      <c r="B28" s="49" t="s">
        <v>17</v>
      </c>
      <c r="C28" s="50"/>
      <c r="D28" s="50"/>
      <c r="E28" s="50"/>
    </row>
    <row r="29" spans="2:16" ht="19" x14ac:dyDescent="0.2">
      <c r="B29" s="51" t="s">
        <v>18</v>
      </c>
      <c r="C29" s="52" t="s">
        <v>9</v>
      </c>
      <c r="D29" s="51" t="s">
        <v>19</v>
      </c>
      <c r="E29" s="52" t="s">
        <v>9</v>
      </c>
      <c r="P29" s="8"/>
    </row>
    <row r="30" spans="2:16" ht="19" x14ac:dyDescent="0.2">
      <c r="B30" s="43">
        <v>0.1</v>
      </c>
      <c r="D30" s="43">
        <v>0.1</v>
      </c>
      <c r="P30" s="8"/>
    </row>
    <row r="31" spans="2:16" ht="17" customHeight="1" x14ac:dyDescent="0.2">
      <c r="B31" s="53" t="str">
        <f>IFERROR(E15*(1-B30),"")</f>
        <v/>
      </c>
      <c r="C31" s="54"/>
      <c r="P31" s="8"/>
    </row>
    <row r="32" spans="2:16" ht="6" customHeight="1" x14ac:dyDescent="0.2">
      <c r="P32" s="8"/>
    </row>
    <row r="33" spans="1:16 1025:1028" ht="19" x14ac:dyDescent="0.2">
      <c r="B33" s="55" t="s">
        <v>20</v>
      </c>
      <c r="C33" s="56"/>
      <c r="D33" s="57" t="s">
        <v>21</v>
      </c>
      <c r="E33" s="55"/>
      <c r="P33" s="8"/>
    </row>
    <row r="34" spans="1:16 1025:1028" ht="21" x14ac:dyDescent="0.25">
      <c r="B34" s="305" t="str">
        <f>IFERROR('Detailed results'!D49,"")</f>
        <v/>
      </c>
      <c r="C34" s="58"/>
      <c r="D34" s="314" t="str">
        <f>IFERROR(-'Detailed results'!E46,"")</f>
        <v/>
      </c>
      <c r="E34" s="312" t="str">
        <f>IFERROR(D34/$C$14,"")</f>
        <v/>
      </c>
      <c r="P34" s="8"/>
    </row>
    <row r="35" spans="1:16 1025:1028" ht="19" x14ac:dyDescent="0.2">
      <c r="B35" s="306" t="str">
        <f>IFERROR('Detailed results'!D50,"")</f>
        <v/>
      </c>
      <c r="C35" s="58"/>
      <c r="D35" s="59" t="s">
        <v>22</v>
      </c>
      <c r="E35" s="315" t="str">
        <f>IF(-'Detailed results'!E39=0,"",-'Detailed results'!E39)</f>
        <v/>
      </c>
      <c r="J35" s="60"/>
      <c r="P35" s="8"/>
    </row>
    <row r="36" spans="1:16 1025:1028" ht="19" x14ac:dyDescent="0.25">
      <c r="B36" s="61"/>
      <c r="C36" s="58"/>
      <c r="D36" s="59" t="s">
        <v>23</v>
      </c>
      <c r="E36" s="315" t="e">
        <f>IF(-'Detailed results'!E40=0,"",-'Detailed results'!E40)</f>
        <v>#VALUE!</v>
      </c>
      <c r="K36" s="62"/>
      <c r="P36" s="8"/>
      <c r="AML36" s="15"/>
      <c r="AMM36" s="15"/>
    </row>
    <row r="37" spans="1:16 1025:1028" ht="19" x14ac:dyDescent="0.2">
      <c r="A37" s="20"/>
      <c r="B37" s="57" t="s">
        <v>24</v>
      </c>
      <c r="C37" s="63"/>
      <c r="D37" s="59" t="s">
        <v>25</v>
      </c>
      <c r="E37" s="315" t="e">
        <f>IF(-'Detailed results'!E41=0,"",-'Detailed results'!E41)</f>
        <v>#VALUE!</v>
      </c>
      <c r="P37" s="8"/>
      <c r="AMK37" s="20"/>
      <c r="AML37" s="15"/>
      <c r="AMM37" s="15"/>
      <c r="AMN37" s="20"/>
    </row>
    <row r="38" spans="1:16 1025:1028" s="64" customFormat="1" ht="19" x14ac:dyDescent="0.25">
      <c r="B38" s="320" t="str">
        <f>IFERROR('Detailed results'!E13,"")</f>
        <v/>
      </c>
      <c r="C38" s="63"/>
      <c r="D38" s="59" t="s">
        <v>26</v>
      </c>
      <c r="E38" s="315" t="e">
        <f>IF(-SUM('Detailed results'!E42:E45)=0,"",-SUM('Detailed results'!E42:E45))</f>
        <v>#VALUE!</v>
      </c>
      <c r="J38" s="15"/>
      <c r="K38" s="65"/>
      <c r="L38" s="15"/>
      <c r="M38" s="15"/>
      <c r="N38" s="15"/>
      <c r="O38" s="15"/>
      <c r="AMN38" s="20"/>
    </row>
    <row r="39" spans="1:16 1025:1028" x14ac:dyDescent="0.2">
      <c r="B39" s="58"/>
      <c r="C39" s="58"/>
      <c r="D39" s="66" t="s">
        <v>27</v>
      </c>
      <c r="E39" s="58"/>
      <c r="AML39" s="20"/>
      <c r="AMM39" s="20"/>
    </row>
    <row r="40" spans="1:16 1025:1028" ht="23" customHeight="1" x14ac:dyDescent="0.2">
      <c r="A40" s="20"/>
      <c r="B40" s="57" t="s">
        <v>28</v>
      </c>
      <c r="C40" s="58"/>
      <c r="D40" s="57" t="s">
        <v>29</v>
      </c>
      <c r="E40" s="67"/>
    </row>
    <row r="41" spans="1:16 1025:1028" ht="19" x14ac:dyDescent="0.25">
      <c r="A41" s="20"/>
      <c r="B41" s="318" t="str">
        <f>IFERROR('Detailed results'!E19,"")</f>
        <v/>
      </c>
      <c r="C41" s="319" t="str">
        <f>IFERROR(B41/'Refine Calculation'!$E$5,"")</f>
        <v/>
      </c>
      <c r="D41" s="68" t="s">
        <v>30</v>
      </c>
      <c r="E41" s="69" t="str">
        <f>IFERROR('Detailed results'!D25,"")</f>
        <v/>
      </c>
    </row>
    <row r="42" spans="1:16 1025:1028" x14ac:dyDescent="0.2">
      <c r="B42" s="58"/>
      <c r="C42" s="58"/>
      <c r="D42" s="316" t="s">
        <v>12</v>
      </c>
      <c r="E42" s="317" t="str">
        <f>IFERROR('Detailed results'!F25,"")</f>
        <v/>
      </c>
    </row>
    <row r="43" spans="1:16 1025:1028" ht="7" customHeight="1" x14ac:dyDescent="0.2">
      <c r="B43" s="58"/>
      <c r="C43" s="58"/>
      <c r="D43" s="70"/>
      <c r="E43" s="71"/>
    </row>
    <row r="44" spans="1:16 1025:1028" x14ac:dyDescent="0.2">
      <c r="B44" s="57" t="s">
        <v>31</v>
      </c>
      <c r="C44" s="58"/>
      <c r="D44" s="57" t="s">
        <v>32</v>
      </c>
      <c r="E44" s="58"/>
    </row>
    <row r="45" spans="1:16 1025:1028" x14ac:dyDescent="0.2">
      <c r="B45" s="321" t="str">
        <f>IFERROR('Detailed results'!E24,"")</f>
        <v/>
      </c>
      <c r="C45" s="63"/>
      <c r="D45" s="322" t="str">
        <f>IFERROR((E42-E41)/E41,"")</f>
        <v/>
      </c>
      <c r="E45" s="58"/>
    </row>
    <row r="46" spans="1:16 1025:1028" x14ac:dyDescent="0.2">
      <c r="C46" s="72"/>
      <c r="D46" s="72"/>
    </row>
    <row r="47" spans="1:16 1025:1028" x14ac:dyDescent="0.2">
      <c r="C47" s="72"/>
      <c r="D47" s="72"/>
    </row>
    <row r="48" spans="1:16 1025:1028" x14ac:dyDescent="0.2">
      <c r="C48" s="72"/>
      <c r="D48" s="72"/>
    </row>
    <row r="49" spans="2:6" x14ac:dyDescent="0.2">
      <c r="B49" s="21"/>
      <c r="C49" s="72"/>
      <c r="D49" s="72"/>
      <c r="E49" s="73"/>
      <c r="F49" s="74"/>
    </row>
    <row r="57" spans="2:6" ht="71" customHeight="1" x14ac:dyDescent="0.25">
      <c r="B57" s="49" t="s">
        <v>33</v>
      </c>
      <c r="C57" s="50"/>
      <c r="D57" s="50"/>
      <c r="E57" s="50"/>
    </row>
    <row r="58" spans="2:6" ht="5" customHeight="1" x14ac:dyDescent="0.2"/>
    <row r="59" spans="2:6" x14ac:dyDescent="0.2">
      <c r="B59" s="75" t="s">
        <v>34</v>
      </c>
    </row>
    <row r="60" spans="2:6" ht="13" customHeight="1" x14ac:dyDescent="0.2">
      <c r="B60" s="75" t="s">
        <v>35</v>
      </c>
    </row>
    <row r="61" spans="2:6" ht="8" customHeight="1" x14ac:dyDescent="0.2">
      <c r="B61" s="53"/>
      <c r="C61" s="53"/>
    </row>
    <row r="62" spans="2:6" ht="19" x14ac:dyDescent="0.2">
      <c r="B62" s="43">
        <v>0.2</v>
      </c>
      <c r="C62" s="53" t="str">
        <f>IFERROR(E15*(1+B62),"")</f>
        <v/>
      </c>
    </row>
    <row r="64" spans="2:6" x14ac:dyDescent="0.2">
      <c r="B64" s="57" t="s">
        <v>36</v>
      </c>
      <c r="C64" s="58"/>
      <c r="D64" s="57" t="s">
        <v>37</v>
      </c>
      <c r="E64" s="55"/>
    </row>
    <row r="65" spans="1:5 1026:1027" ht="21" x14ac:dyDescent="0.25">
      <c r="B65" s="325" t="str">
        <f>IFERROR('Detailed results'!G13,"")</f>
        <v/>
      </c>
      <c r="C65" s="58"/>
      <c r="D65" s="326" t="str">
        <f>IFERROR('Detailed results'!H47,"")</f>
        <v/>
      </c>
      <c r="E65" s="327" t="str">
        <f>IFERROR(D65/$C$14,"")</f>
        <v/>
      </c>
    </row>
    <row r="66" spans="1:5 1026:1027" x14ac:dyDescent="0.2">
      <c r="B66" s="58"/>
      <c r="C66" s="58"/>
      <c r="D66" s="59" t="s">
        <v>22</v>
      </c>
      <c r="E66" s="328" t="str">
        <f>IF('Detailed results'!G39=0,"",'Detailed results'!G39)</f>
        <v/>
      </c>
    </row>
    <row r="67" spans="1:5 1026:1027" x14ac:dyDescent="0.2">
      <c r="B67" s="57" t="s">
        <v>38</v>
      </c>
      <c r="C67" s="58"/>
      <c r="D67" s="59" t="s">
        <v>23</v>
      </c>
      <c r="E67" s="328" t="str">
        <f>IFERROR('Detailed results'!G40,"")</f>
        <v/>
      </c>
      <c r="AML67" s="15"/>
      <c r="AMM67" s="15"/>
    </row>
    <row r="68" spans="1:5 1026:1027" ht="19" x14ac:dyDescent="0.25">
      <c r="B68" s="332" t="str">
        <f>IFERROR('Detailed results'!G19,"")</f>
        <v/>
      </c>
      <c r="C68" s="333" t="str">
        <f>IFERROR(B68/'Refine Calculation'!$E$5,"")</f>
        <v/>
      </c>
      <c r="D68" s="59" t="s">
        <v>25</v>
      </c>
      <c r="E68" s="328" t="str">
        <f>IFERROR('Detailed results'!G41,"")</f>
        <v/>
      </c>
      <c r="AML68" s="15"/>
      <c r="AMM68" s="15"/>
    </row>
    <row r="69" spans="1:5 1026:1027" x14ac:dyDescent="0.2">
      <c r="B69" s="58"/>
      <c r="C69" s="58"/>
      <c r="D69" s="59" t="s">
        <v>26</v>
      </c>
      <c r="E69" s="328" t="str">
        <f>IFERROR(SUM('Detailed results'!G42:G45),"")</f>
        <v/>
      </c>
      <c r="AML69" s="15"/>
      <c r="AMM69" s="15"/>
    </row>
    <row r="70" spans="1:5 1026:1027" x14ac:dyDescent="0.2">
      <c r="A70" s="20"/>
      <c r="B70" s="57" t="s">
        <v>29</v>
      </c>
      <c r="C70" s="67"/>
      <c r="D70" s="66" t="s">
        <v>27</v>
      </c>
      <c r="E70" s="58"/>
    </row>
    <row r="71" spans="1:5 1026:1027" x14ac:dyDescent="0.2">
      <c r="B71" s="330" t="s">
        <v>30</v>
      </c>
      <c r="C71" s="331" t="str">
        <f>IFERROR('Detailed results'!H25,"")</f>
        <v/>
      </c>
      <c r="D71" s="58"/>
      <c r="E71" s="76" t="s">
        <v>31</v>
      </c>
    </row>
    <row r="72" spans="1:5 1026:1027" x14ac:dyDescent="0.2">
      <c r="B72" s="316" t="s">
        <v>12</v>
      </c>
      <c r="C72" s="317" t="str">
        <f>IFERROR('Detailed results'!F25,"")</f>
        <v/>
      </c>
      <c r="D72" s="58"/>
      <c r="E72" s="329" t="str">
        <f>IFERROR('Detailed results'!G24,"")</f>
        <v/>
      </c>
    </row>
    <row r="73" spans="1:5 1026:1027" x14ac:dyDescent="0.2">
      <c r="B73" s="58"/>
      <c r="C73" s="58"/>
      <c r="D73" s="58"/>
      <c r="E73" s="58"/>
    </row>
    <row r="74" spans="1:5 1026:1027" ht="21" x14ac:dyDescent="0.25">
      <c r="A74" s="20"/>
      <c r="B74" s="77" t="s">
        <v>20</v>
      </c>
      <c r="C74" s="78"/>
      <c r="D74" s="323" t="str">
        <f>IFERROR('Detailed results'!H49,"")</f>
        <v/>
      </c>
      <c r="E74" s="324" t="str">
        <f>IFERROR('Detailed results'!H50,"")</f>
        <v/>
      </c>
    </row>
    <row r="75" spans="1:5 1026:1027" x14ac:dyDescent="0.2">
      <c r="A75" s="20"/>
      <c r="B75" s="58"/>
      <c r="C75" s="58"/>
      <c r="D75" s="58"/>
      <c r="E75" s="58"/>
    </row>
    <row r="76" spans="1:5 1026:1027" x14ac:dyDescent="0.2">
      <c r="A76" s="20"/>
    </row>
    <row r="110" spans="1:27 1025:1025" x14ac:dyDescent="0.2">
      <c r="AMK110" s="15"/>
    </row>
    <row r="111" spans="1:27 1025:1025" s="79" customFormat="1" x14ac:dyDescent="0.2">
      <c r="A111" s="15"/>
      <c r="B111" s="1"/>
      <c r="C111" s="1"/>
      <c r="D111" s="1"/>
      <c r="E111" s="1"/>
      <c r="F111" s="1"/>
      <c r="G111" s="1"/>
      <c r="H111" s="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MK111" s="15"/>
    </row>
    <row r="112" spans="1:27 1025:1025" s="79" customFormat="1" x14ac:dyDescent="0.2">
      <c r="A112" s="15"/>
      <c r="B112" s="1"/>
      <c r="C112" s="1"/>
      <c r="D112" s="1"/>
      <c r="E112" s="1"/>
      <c r="F112" s="1"/>
      <c r="G112" s="1"/>
      <c r="H112" s="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MK112" s="15"/>
    </row>
    <row r="113" spans="1:27 1025:1025" s="79" customFormat="1" x14ac:dyDescent="0.2">
      <c r="A113" s="15"/>
      <c r="B113" s="1"/>
      <c r="C113" s="1"/>
      <c r="D113" s="1"/>
      <c r="E113" s="1"/>
      <c r="F113" s="1"/>
      <c r="G113" s="1"/>
      <c r="H113" s="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MK113" s="15"/>
    </row>
    <row r="114" spans="1:27 1025:1025" s="79" customFormat="1" x14ac:dyDescent="0.2">
      <c r="A114" s="15"/>
      <c r="B114" s="1"/>
      <c r="C114" s="1"/>
      <c r="D114" s="1"/>
      <c r="E114" s="1"/>
      <c r="F114" s="1"/>
      <c r="G114" s="1"/>
      <c r="H114" s="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MK114" s="15"/>
    </row>
    <row r="115" spans="1:27 1025:1025" s="79" customFormat="1" x14ac:dyDescent="0.2">
      <c r="A115" s="15"/>
      <c r="B115" s="1"/>
      <c r="C115" s="1"/>
      <c r="D115" s="1"/>
      <c r="E115" s="1"/>
      <c r="F115" s="1"/>
      <c r="G115" s="1"/>
      <c r="H115" s="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MK115" s="15"/>
    </row>
    <row r="116" spans="1:27 1025:1025" s="79" customFormat="1" x14ac:dyDescent="0.2">
      <c r="A116" s="15"/>
      <c r="B116" s="1"/>
      <c r="C116" s="1"/>
      <c r="D116" s="1"/>
      <c r="E116" s="1"/>
      <c r="F116" s="1"/>
      <c r="G116" s="1"/>
      <c r="H116" s="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MK116" s="15"/>
    </row>
    <row r="117" spans="1:27 1025:1025" s="79" customFormat="1" x14ac:dyDescent="0.2">
      <c r="A117" s="15"/>
      <c r="B117" s="1"/>
      <c r="C117" s="1"/>
      <c r="D117" s="1"/>
      <c r="E117" s="1"/>
      <c r="F117" s="1"/>
      <c r="G117" s="1"/>
      <c r="H117" s="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MK117" s="15"/>
    </row>
    <row r="118" spans="1:27 1025:1025" s="79" customFormat="1" x14ac:dyDescent="0.2">
      <c r="A118" s="15"/>
      <c r="B118" s="1"/>
      <c r="C118" s="1"/>
      <c r="D118" s="1"/>
      <c r="E118" s="1"/>
      <c r="F118" s="1"/>
      <c r="G118" s="1"/>
      <c r="H118" s="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MK118" s="15"/>
    </row>
    <row r="119" spans="1:27 1025:1025" s="79" customFormat="1" x14ac:dyDescent="0.2">
      <c r="A119" s="15"/>
      <c r="B119" s="1"/>
      <c r="C119" s="1"/>
      <c r="D119" s="1"/>
      <c r="E119" s="1"/>
      <c r="F119" s="1"/>
      <c r="G119" s="1"/>
      <c r="H119" s="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MK119" s="15"/>
    </row>
    <row r="120" spans="1:27 1025:1025" s="79" customFormat="1" x14ac:dyDescent="0.2">
      <c r="A120" s="15"/>
      <c r="B120" s="1"/>
      <c r="C120" s="1"/>
      <c r="D120" s="1"/>
      <c r="E120" s="1"/>
      <c r="F120" s="1"/>
      <c r="G120" s="1"/>
      <c r="H120" s="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MK120" s="15"/>
    </row>
    <row r="121" spans="1:27 1025:1025" s="79" customFormat="1" x14ac:dyDescent="0.2">
      <c r="A121" s="15"/>
      <c r="B121" s="1"/>
      <c r="C121" s="1"/>
      <c r="D121" s="1"/>
      <c r="E121" s="1"/>
      <c r="F121" s="1"/>
      <c r="G121" s="1"/>
      <c r="H121" s="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MK121" s="15"/>
    </row>
    <row r="122" spans="1:27 1025:1025" s="79" customFormat="1" x14ac:dyDescent="0.2">
      <c r="A122" s="15"/>
      <c r="B122" s="1"/>
      <c r="C122" s="1"/>
      <c r="D122" s="1"/>
      <c r="E122" s="1"/>
      <c r="F122" s="1"/>
      <c r="G122" s="1"/>
      <c r="H122" s="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MK122" s="15"/>
    </row>
    <row r="123" spans="1:27 1025:1025" s="79" customFormat="1" x14ac:dyDescent="0.2">
      <c r="A123" s="15"/>
      <c r="B123" s="1"/>
      <c r="C123" s="1"/>
      <c r="D123" s="1"/>
      <c r="E123" s="1"/>
      <c r="F123" s="1"/>
      <c r="G123" s="1"/>
      <c r="H123" s="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MK123" s="15"/>
    </row>
    <row r="124" spans="1:27 1025:1025" s="79" customFormat="1" x14ac:dyDescent="0.2">
      <c r="A124" s="15"/>
      <c r="B124" s="1"/>
      <c r="C124" s="1"/>
      <c r="D124" s="1"/>
      <c r="E124" s="1"/>
      <c r="F124" s="1"/>
      <c r="G124" s="1"/>
      <c r="H124" s="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MK124" s="15"/>
    </row>
    <row r="125" spans="1:27 1025:1025" s="79" customFormat="1" x14ac:dyDescent="0.2">
      <c r="A125" s="15"/>
      <c r="B125" s="1"/>
      <c r="C125" s="1"/>
      <c r="D125" s="1"/>
      <c r="E125" s="1"/>
      <c r="F125" s="1"/>
      <c r="G125" s="1"/>
      <c r="H125" s="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MK125" s="15"/>
    </row>
    <row r="126" spans="1:27 1025:1025" s="79" customFormat="1" x14ac:dyDescent="0.2">
      <c r="A126" s="15"/>
      <c r="B126" s="1"/>
      <c r="C126" s="1"/>
      <c r="D126" s="1"/>
      <c r="E126" s="1"/>
      <c r="F126" s="1"/>
      <c r="G126" s="1"/>
      <c r="H126" s="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MK126" s="15"/>
    </row>
    <row r="127" spans="1:27 1025:1025" x14ac:dyDescent="0.2">
      <c r="AMK127" s="15"/>
    </row>
    <row r="132" spans="1:27 1025:1025" x14ac:dyDescent="0.2">
      <c r="AMK132" s="15"/>
    </row>
    <row r="133" spans="1:27 1025:1025" x14ac:dyDescent="0.2">
      <c r="AMK133" s="15"/>
    </row>
    <row r="134" spans="1:27 1025:1025" s="79" customFormat="1" x14ac:dyDescent="0.2">
      <c r="A134" s="15"/>
      <c r="B134" s="1"/>
      <c r="C134" s="1"/>
      <c r="D134" s="1"/>
      <c r="E134" s="1"/>
      <c r="F134" s="1"/>
      <c r="G134" s="1"/>
      <c r="H134" s="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MK134" s="15"/>
    </row>
    <row r="135" spans="1:27 1025:1025" s="79" customFormat="1" x14ac:dyDescent="0.2">
      <c r="A135" s="15"/>
      <c r="B135" s="1"/>
      <c r="C135" s="1"/>
      <c r="D135" s="1"/>
      <c r="E135" s="1"/>
      <c r="F135" s="1"/>
      <c r="G135" s="1"/>
      <c r="H135" s="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MK135" s="15"/>
    </row>
    <row r="136" spans="1:27 1025:1025" x14ac:dyDescent="0.2">
      <c r="AMK136" s="15"/>
    </row>
    <row r="137" spans="1:27 1025:1025" ht="16" customHeight="1" x14ac:dyDescent="0.2">
      <c r="AMK137" s="15"/>
    </row>
  </sheetData>
  <mergeCells count="2">
    <mergeCell ref="B17:C17"/>
    <mergeCell ref="B26:C2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Title="The value you entered is not valid." error="The value entered violates data validation rules set in cell" xr:uid="{00000000-0002-0000-0000-000000000000}">
          <x14:formula1>
            <xm:f>Settings!$D$37:$D$49</xm:f>
          </x14:formula1>
          <xm:sqref>B6</xm:sqref>
        </x14:dataValidation>
        <x14:dataValidation type="list" allowBlank="1" showErrorMessage="1" errorTitle="The value you entered is not valid." error="The value entered violates data validation rules set in cell" xr:uid="{00000000-0002-0000-0000-000001000000}">
          <x14:formula1>
            <xm:f>Settings!$N$3:$N$14</xm:f>
          </x14:formula1>
          <xm:sqref>B9:B12</xm:sqref>
        </x14:dataValidation>
        <x14:dataValidation type="list" allowBlank="1" showErrorMessage="1" errorTitle="The value you entered is not valid." error="The value entered violates data validation rules set in cell" xr:uid="{00000000-0002-0000-0000-000002000000}">
          <x14:formula1>
            <xm:f>Settings!$F$3:$F$23</xm:f>
          </x14:formula1>
          <xm:sqref>E9:E12</xm:sqref>
        </x14:dataValidation>
        <x14:dataValidation type="list" allowBlank="1" showErrorMessage="1" errorTitle="The value you entered is not valid." error="The value entered violates data validation rules set in cell" xr:uid="{00000000-0002-0000-0000-000003000000}">
          <x14:formula1>
            <xm:f>Settings!$D$3:$D$14</xm:f>
          </x14:formula1>
          <xm:sqref>D6</xm:sqref>
        </x14:dataValidation>
        <x14:dataValidation type="list" allowBlank="1" showErrorMessage="1" errorTitle="The value you entered is not valid." error="The value entered violates data validation rules set in cell" xr:uid="{00000000-0002-0000-0000-000004000000}">
          <x14:formula1>
            <xm:f>Settings!$K$3:$K$25</xm:f>
          </x14:formula1>
          <xm:sqref>D18 B30 D30 B62</xm:sqref>
        </x14:dataValidation>
        <x14:dataValidation type="list" allowBlank="1" showErrorMessage="1" errorTitle="The value you entered is not valid." error="The value entered violates data validation rules set in cell" xr:uid="{00000000-0002-0000-0000-000005000000}">
          <x14:formula1>
            <xm:f>Settings!$E$3:$E$22</xm:f>
          </x14:formula1>
          <xm:sqref>D9:D12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GridLines="0" zoomScale="162" workbookViewId="0">
      <selection activeCell="F18" sqref="F18"/>
    </sheetView>
  </sheetViews>
  <sheetFormatPr baseColWidth="10" defaultColWidth="8.83203125" defaultRowHeight="18" customHeight="1" x14ac:dyDescent="0.2"/>
  <cols>
    <col min="1" max="1" width="31.1640625"/>
    <col min="2" max="3" width="0.6640625"/>
    <col min="4" max="4" width="10.83203125"/>
    <col min="5" max="5" width="11.83203125"/>
    <col min="6" max="6" width="10.83203125"/>
    <col min="7" max="7" width="14.5"/>
    <col min="8" max="8" width="12.6640625"/>
    <col min="9" max="1025" width="10.83203125"/>
    <col min="1026" max="2048" width="10.6640625"/>
  </cols>
  <sheetData>
    <row r="1" spans="1:8" ht="21" x14ac:dyDescent="0.25">
      <c r="A1" s="80" t="s">
        <v>39</v>
      </c>
      <c r="B1" s="81"/>
      <c r="C1" s="81"/>
      <c r="D1" s="81"/>
      <c r="E1" s="81"/>
      <c r="F1" s="81"/>
      <c r="G1" s="81"/>
    </row>
    <row r="3" spans="1:8" ht="16" x14ac:dyDescent="0.2">
      <c r="A3" s="21"/>
      <c r="B3" s="1"/>
      <c r="C3" s="1"/>
      <c r="D3" s="82"/>
      <c r="E3" s="83" t="s">
        <v>40</v>
      </c>
      <c r="F3" s="51"/>
      <c r="G3" s="83" t="s">
        <v>41</v>
      </c>
      <c r="H3" s="84"/>
    </row>
    <row r="4" spans="1:8" ht="16" x14ac:dyDescent="0.2">
      <c r="A4" s="85" t="s">
        <v>42</v>
      </c>
      <c r="B4" s="86"/>
      <c r="C4" s="86"/>
      <c r="D4" s="87" t="s">
        <v>43</v>
      </c>
      <c r="E4" s="88">
        <v>12</v>
      </c>
      <c r="F4" s="89" t="s">
        <v>44</v>
      </c>
      <c r="G4" s="90">
        <v>3</v>
      </c>
      <c r="H4" s="91"/>
    </row>
    <row r="5" spans="1:8" ht="16" x14ac:dyDescent="0.2">
      <c r="A5" s="92" t="s">
        <v>45</v>
      </c>
      <c r="B5" s="93"/>
      <c r="C5" s="93"/>
      <c r="D5" s="94" t="s">
        <v>46</v>
      </c>
      <c r="E5" s="95">
        <v>8</v>
      </c>
      <c r="F5" s="89" t="s">
        <v>47</v>
      </c>
      <c r="G5" s="96">
        <v>25</v>
      </c>
      <c r="H5" s="91"/>
    </row>
    <row r="6" spans="1:8" ht="16" x14ac:dyDescent="0.2">
      <c r="A6" s="97" t="s">
        <v>48</v>
      </c>
      <c r="B6" s="98"/>
      <c r="C6" s="98"/>
      <c r="D6" s="99"/>
      <c r="E6" s="100"/>
      <c r="F6" s="101" t="s">
        <v>49</v>
      </c>
      <c r="G6" s="102">
        <v>0.01</v>
      </c>
      <c r="H6" s="103" t="s">
        <v>50</v>
      </c>
    </row>
    <row r="7" spans="1:8" ht="16" x14ac:dyDescent="0.2">
      <c r="A7" s="97" t="s">
        <v>51</v>
      </c>
      <c r="B7" s="98"/>
      <c r="C7" s="98"/>
      <c r="D7" s="99"/>
      <c r="E7" s="100"/>
      <c r="F7" s="89" t="s">
        <v>47</v>
      </c>
      <c r="G7" s="104">
        <v>0</v>
      </c>
      <c r="H7" s="91"/>
    </row>
    <row r="8" spans="1:8" ht="16" x14ac:dyDescent="0.2">
      <c r="A8" s="91"/>
      <c r="B8" s="91"/>
      <c r="C8" s="91"/>
      <c r="D8" s="91"/>
      <c r="E8" s="91"/>
      <c r="F8" s="91"/>
      <c r="G8" s="91"/>
      <c r="H8" s="91"/>
    </row>
    <row r="9" spans="1:8" ht="16" x14ac:dyDescent="0.2">
      <c r="A9" s="97" t="s">
        <v>52</v>
      </c>
      <c r="B9" s="105"/>
      <c r="C9" s="93"/>
      <c r="D9" s="99"/>
      <c r="E9" s="100"/>
      <c r="F9" s="100"/>
      <c r="G9" s="102">
        <v>0</v>
      </c>
      <c r="H9" s="91"/>
    </row>
    <row r="10" spans="1:8" ht="16" x14ac:dyDescent="0.2">
      <c r="A10" s="100"/>
      <c r="B10" s="100"/>
      <c r="C10" s="100"/>
      <c r="D10" s="100"/>
      <c r="E10" s="100"/>
      <c r="F10" s="100"/>
      <c r="G10" s="100"/>
      <c r="H10" s="91"/>
    </row>
    <row r="11" spans="1:8" ht="16" x14ac:dyDescent="0.2">
      <c r="A11" s="97" t="s">
        <v>53</v>
      </c>
      <c r="B11" s="93"/>
      <c r="C11" s="93"/>
      <c r="D11" s="106" t="s">
        <v>54</v>
      </c>
      <c r="E11" s="107">
        <v>0.2</v>
      </c>
      <c r="F11" s="100"/>
      <c r="G11" s="100"/>
      <c r="H11" s="91"/>
    </row>
    <row r="12" spans="1:8" ht="16" x14ac:dyDescent="0.2">
      <c r="A12" s="92" t="s">
        <v>55</v>
      </c>
      <c r="B12" s="93"/>
      <c r="C12" s="93"/>
      <c r="D12" s="108" t="s">
        <v>56</v>
      </c>
      <c r="E12" s="109">
        <v>20</v>
      </c>
      <c r="F12" s="110">
        <f>'Refine Calculation'!E12/60</f>
        <v>0.33333333333333331</v>
      </c>
      <c r="G12" s="91"/>
      <c r="H12" s="91"/>
    </row>
    <row r="13" spans="1:8" ht="16" x14ac:dyDescent="0.2">
      <c r="A13" s="92" t="s">
        <v>57</v>
      </c>
      <c r="B13" s="93"/>
      <c r="C13" s="93"/>
      <c r="D13" s="108" t="s">
        <v>58</v>
      </c>
      <c r="E13" s="111">
        <v>12</v>
      </c>
      <c r="F13" s="100"/>
      <c r="G13" s="100"/>
      <c r="H13" s="91"/>
    </row>
    <row r="14" spans="1:8" ht="48" x14ac:dyDescent="0.2">
      <c r="A14" s="112" t="s">
        <v>59</v>
      </c>
      <c r="B14" s="93"/>
      <c r="C14" s="93"/>
      <c r="D14" s="108" t="s">
        <v>60</v>
      </c>
      <c r="E14" s="113">
        <v>8</v>
      </c>
      <c r="F14" s="114"/>
      <c r="G14" s="100"/>
      <c r="H14" s="91"/>
    </row>
    <row r="15" spans="1:8" ht="16" x14ac:dyDescent="0.2">
      <c r="A15" s="92" t="s">
        <v>61</v>
      </c>
      <c r="B15" s="93"/>
      <c r="C15" s="93"/>
      <c r="D15" s="108" t="s">
        <v>62</v>
      </c>
      <c r="E15" s="115">
        <v>25</v>
      </c>
      <c r="F15" s="91"/>
      <c r="G15" s="91"/>
      <c r="H15" s="91"/>
    </row>
    <row r="16" spans="1:8" ht="16" x14ac:dyDescent="0.2">
      <c r="A16" s="92" t="s">
        <v>63</v>
      </c>
      <c r="B16" s="93"/>
      <c r="C16" s="93"/>
      <c r="D16" s="108"/>
      <c r="E16" s="116">
        <f>E14/E15</f>
        <v>0.32</v>
      </c>
      <c r="F16" s="91"/>
      <c r="G16" s="91"/>
      <c r="H16" s="91"/>
    </row>
    <row r="17" spans="1:9" ht="16" x14ac:dyDescent="0.2">
      <c r="A17" s="92" t="s">
        <v>64</v>
      </c>
      <c r="B17" s="93"/>
      <c r="C17" s="93"/>
      <c r="D17" s="108"/>
      <c r="E17" s="102"/>
      <c r="F17" s="91"/>
      <c r="G17" s="91"/>
      <c r="H17" s="91"/>
    </row>
    <row r="18" spans="1:9" ht="16" x14ac:dyDescent="0.2">
      <c r="A18" s="92" t="s">
        <v>65</v>
      </c>
      <c r="B18" s="93"/>
      <c r="C18" s="93"/>
      <c r="D18" s="108"/>
      <c r="E18" s="107"/>
      <c r="F18" s="91"/>
      <c r="G18" s="91"/>
      <c r="H18" s="91"/>
    </row>
    <row r="19" spans="1:9" ht="16" hidden="1" x14ac:dyDescent="0.2">
      <c r="A19" s="117" t="s">
        <v>66</v>
      </c>
      <c r="B19" s="118"/>
      <c r="C19" s="118"/>
      <c r="D19" s="119"/>
      <c r="E19" s="120">
        <v>0.06</v>
      </c>
      <c r="F19" s="121" t="e">
        <f>E19*'PAYBACK Calculator'!C14</f>
        <v>#VALUE!</v>
      </c>
      <c r="G19" s="121" t="s">
        <v>67</v>
      </c>
      <c r="H19" s="121" t="s">
        <v>68</v>
      </c>
      <c r="I19" s="122"/>
    </row>
    <row r="20" spans="1:9" ht="16" hidden="1" x14ac:dyDescent="0.2">
      <c r="A20" s="117" t="s">
        <v>69</v>
      </c>
      <c r="B20" s="118"/>
      <c r="C20" s="118"/>
      <c r="D20" s="119"/>
      <c r="E20" s="120">
        <v>-0.03</v>
      </c>
      <c r="F20" s="121"/>
      <c r="G20" s="121"/>
      <c r="H20" s="121"/>
      <c r="I20" s="122"/>
    </row>
    <row r="21" spans="1:9" ht="16" x14ac:dyDescent="0.2">
      <c r="A21" s="91"/>
      <c r="B21" s="91"/>
      <c r="C21" s="91"/>
      <c r="D21" s="91"/>
      <c r="E21" s="91"/>
      <c r="F21" s="91"/>
      <c r="G21" s="91"/>
      <c r="H21" s="91"/>
    </row>
    <row r="22" spans="1:9" ht="16" x14ac:dyDescent="0.2">
      <c r="A22" s="92" t="s">
        <v>70</v>
      </c>
      <c r="B22" s="93"/>
      <c r="C22" s="93"/>
      <c r="D22" s="108" t="s">
        <v>71</v>
      </c>
      <c r="E22" s="123">
        <v>5</v>
      </c>
      <c r="F22" s="91"/>
      <c r="G22" s="91"/>
      <c r="H22" s="9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The value you entered is not valid." error="The value entered violates data validation rules set in cell" xr:uid="{00000000-0002-0000-0100-000000000000}">
          <x14:formula1>
            <xm:f>Settings!$L$3:$L$14</xm:f>
          </x14:formula1>
          <xm:sqref>E12</xm:sqref>
        </x14:dataValidation>
        <x14:dataValidation type="list" allowBlank="1" showErrorMessage="1" errorTitle="The value you entered is not valid." error="The value entered violates data validation rules set in cell" xr:uid="{00000000-0002-0000-0100-000001000000}">
          <x14:formula1>
            <xm:f>Settings!$J$3:$J$17</xm:f>
          </x14:formula1>
          <xm:sqref>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9"/>
  <sheetViews>
    <sheetView showGridLines="0" topLeftCell="A14" workbookViewId="0"/>
  </sheetViews>
  <sheetFormatPr baseColWidth="10" defaultColWidth="8.83203125" defaultRowHeight="18" customHeight="1" x14ac:dyDescent="0.2"/>
  <cols>
    <col min="1" max="1" width="0.83203125"/>
    <col min="2" max="2" width="10.83203125"/>
    <col min="3" max="3" width="13.1640625"/>
    <col min="4" max="4" width="18.1640625"/>
    <col min="5" max="5" width="10.83203125"/>
    <col min="6" max="6" width="15.33203125"/>
    <col min="7" max="7" width="14.5" style="124"/>
    <col min="8" max="8" width="14.1640625"/>
    <col min="9" max="1025" width="10.83203125"/>
    <col min="1026" max="2048" width="10.6640625"/>
  </cols>
  <sheetData>
    <row r="1" spans="1:34" ht="26" x14ac:dyDescent="0.2">
      <c r="B1" s="125" t="s">
        <v>72</v>
      </c>
      <c r="C1" s="125"/>
      <c r="D1" s="125"/>
      <c r="E1" s="125"/>
      <c r="F1" s="125"/>
      <c r="G1" s="126"/>
      <c r="H1" s="1"/>
    </row>
    <row r="2" spans="1:34" ht="16" x14ac:dyDescent="0.2">
      <c r="B2" s="1"/>
      <c r="C2" s="72"/>
      <c r="D2" s="1" t="s">
        <v>73</v>
      </c>
      <c r="E2" s="1"/>
      <c r="F2" s="1" t="s">
        <v>74</v>
      </c>
      <c r="G2" s="126"/>
      <c r="H2" s="1" t="s">
        <v>74</v>
      </c>
    </row>
    <row r="3" spans="1:34" ht="16" x14ac:dyDescent="0.2">
      <c r="B3" s="1" t="s">
        <v>75</v>
      </c>
      <c r="C3" s="72"/>
      <c r="D3" s="72"/>
      <c r="E3" s="1"/>
      <c r="F3" s="1"/>
      <c r="G3" s="126"/>
      <c r="H3" s="1" t="s">
        <v>76</v>
      </c>
    </row>
    <row r="4" spans="1:34" ht="17" x14ac:dyDescent="0.2">
      <c r="A4" s="127"/>
      <c r="B4" s="128"/>
      <c r="C4" s="129"/>
      <c r="D4" s="130" t="s">
        <v>77</v>
      </c>
      <c r="E4" s="131" t="s">
        <v>78</v>
      </c>
      <c r="F4" s="132" t="s">
        <v>79</v>
      </c>
      <c r="G4" s="131" t="s">
        <v>80</v>
      </c>
      <c r="H4" s="133">
        <f>'PAYBACK Calculator'!$B$62</f>
        <v>0.2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6" x14ac:dyDescent="0.2">
      <c r="B5" s="134" t="s">
        <v>81</v>
      </c>
      <c r="C5" s="135"/>
      <c r="D5" s="136" t="e">
        <f>'PAYBACK Calculator'!C14*(1+'PAYBACK Calculator'!D18)</f>
        <v>#VALUE!</v>
      </c>
      <c r="E5" s="137"/>
      <c r="F5" s="138" t="str">
        <f>'PAYBACK Calculator'!C14</f>
        <v/>
      </c>
      <c r="G5" s="126"/>
      <c r="H5" s="138" t="str">
        <f>'PAYBACK Calculator'!C14</f>
        <v/>
      </c>
    </row>
    <row r="6" spans="1:34" ht="6" customHeight="1" x14ac:dyDescent="0.2">
      <c r="B6" s="139"/>
      <c r="C6" s="140"/>
      <c r="D6" s="141"/>
      <c r="E6" s="142"/>
      <c r="F6" s="143"/>
      <c r="G6" s="126"/>
      <c r="H6" s="1"/>
      <c r="I6" s="20"/>
    </row>
    <row r="7" spans="1:34" ht="16" x14ac:dyDescent="0.2">
      <c r="B7" s="134" t="s">
        <v>82</v>
      </c>
      <c r="C7" s="144"/>
      <c r="D7" s="145">
        <f>'PAYBACK Calculator'!E14*(1+'PAYBACK Calculator'!D18)</f>
        <v>0</v>
      </c>
      <c r="E7" s="146">
        <f t="shared" ref="E7:E8" si="0">D7-F7</f>
        <v>0</v>
      </c>
      <c r="F7" s="147">
        <f>'PAYBACK Calculator'!E14*(1-'PAYBACK Calculator'!B30)</f>
        <v>0</v>
      </c>
      <c r="G7" s="126"/>
      <c r="H7" s="1">
        <f>'PAYBACK Calculator'!E14*(1+$H$4)</f>
        <v>0</v>
      </c>
      <c r="J7" s="20"/>
    </row>
    <row r="8" spans="1:34" ht="16" x14ac:dyDescent="0.2">
      <c r="B8" s="134" t="s">
        <v>83</v>
      </c>
      <c r="C8" s="1"/>
      <c r="D8" s="148" t="str">
        <f>'PAYBACK Calculator'!E15</f>
        <v/>
      </c>
      <c r="E8" s="149" t="e">
        <f t="shared" si="0"/>
        <v>#VALUE!</v>
      </c>
      <c r="F8" s="150" t="str">
        <f>'PAYBACK Calculator'!B31</f>
        <v/>
      </c>
      <c r="G8" s="126"/>
      <c r="H8" s="151" t="str">
        <f>'PAYBACK Calculator'!C62</f>
        <v/>
      </c>
      <c r="I8" s="20"/>
    </row>
    <row r="9" spans="1:34" ht="16" x14ac:dyDescent="0.2">
      <c r="B9" s="134" t="s">
        <v>84</v>
      </c>
      <c r="C9" s="1"/>
      <c r="D9" s="152">
        <f>IFERROR('PAYBACK Calculator'!B6*'Refine Calculation'!E13*Settings!$E$58/Settings!$E$57,0)</f>
        <v>0</v>
      </c>
      <c r="E9" s="137"/>
      <c r="F9" s="153">
        <f>IFERROR('PAYBACK Calculator'!B6*'Refine Calculation'!E13*Settings!$E$58/Settings!$E$57,0)</f>
        <v>0</v>
      </c>
      <c r="H9" s="152">
        <f>IFERROR('PAYBACK Calculator'!B6*'Refine Calculation'!E13*Settings!$E$58/Settings!$E$57,0)</f>
        <v>0</v>
      </c>
      <c r="J9" s="126" t="s">
        <v>85</v>
      </c>
    </row>
    <row r="10" spans="1:34" ht="16" x14ac:dyDescent="0.2">
      <c r="B10" s="134" t="s">
        <v>86</v>
      </c>
      <c r="C10" s="1"/>
      <c r="D10" s="152">
        <f>D9*(1-'Refine Calculation'!$E$11)</f>
        <v>0</v>
      </c>
      <c r="E10" s="154">
        <f>F10-D10</f>
        <v>0</v>
      </c>
      <c r="F10" s="153">
        <f>D10</f>
        <v>0</v>
      </c>
      <c r="H10" s="152">
        <f>H9*(1-'Refine Calculation'!$E$11)</f>
        <v>0</v>
      </c>
      <c r="J10" s="126" t="s">
        <v>87</v>
      </c>
    </row>
    <row r="11" spans="1:34" ht="16" x14ac:dyDescent="0.2">
      <c r="B11" s="155" t="s">
        <v>88</v>
      </c>
      <c r="C11" s="156"/>
      <c r="D11" s="157" t="e">
        <f>D5/SUM(D16:D17)</f>
        <v>#VALUE!</v>
      </c>
      <c r="E11" s="137"/>
      <c r="F11" s="143"/>
      <c r="G11" s="126"/>
      <c r="H11" s="1"/>
    </row>
    <row r="12" spans="1:34" ht="3" customHeight="1" x14ac:dyDescent="0.2">
      <c r="B12" s="134"/>
      <c r="C12" s="1"/>
      <c r="D12" s="158"/>
      <c r="E12" s="137"/>
      <c r="F12" s="143"/>
      <c r="G12" s="126"/>
      <c r="H12" s="1"/>
    </row>
    <row r="13" spans="1:34" ht="16" x14ac:dyDescent="0.2">
      <c r="B13" s="134" t="s">
        <v>89</v>
      </c>
      <c r="C13" s="135"/>
      <c r="D13" s="159" t="e">
        <f>D7/'PAYBACK Calculator'!$D$6</f>
        <v>#DIV/0!</v>
      </c>
      <c r="E13" s="160" t="e">
        <f>D13-F13</f>
        <v>#DIV/0!</v>
      </c>
      <c r="F13" s="161" t="e">
        <f>F7/'PAYBACK Calculator'!$D$6</f>
        <v>#DIV/0!</v>
      </c>
      <c r="G13" s="126" t="e">
        <f>H13-D13</f>
        <v>#DIV/0!</v>
      </c>
      <c r="H13" s="159" t="e">
        <f>H7/'PAYBACK Calculator'!D6</f>
        <v>#DIV/0!</v>
      </c>
    </row>
    <row r="14" spans="1:34" ht="16" x14ac:dyDescent="0.2">
      <c r="B14" s="134"/>
      <c r="C14" s="135"/>
      <c r="D14" s="162"/>
      <c r="E14" s="160"/>
      <c r="F14" s="163"/>
      <c r="G14" s="126"/>
      <c r="H14" s="1"/>
    </row>
    <row r="15" spans="1:34" ht="16" x14ac:dyDescent="0.2">
      <c r="B15" s="164" t="s">
        <v>90</v>
      </c>
      <c r="C15" s="1"/>
      <c r="D15" s="165"/>
      <c r="E15" s="137"/>
      <c r="F15" s="166"/>
      <c r="G15" s="126"/>
      <c r="H15" s="1"/>
    </row>
    <row r="16" spans="1:34" ht="16" x14ac:dyDescent="0.2">
      <c r="B16" s="167" t="s">
        <v>91</v>
      </c>
      <c r="C16" s="168"/>
      <c r="D16" s="169" t="e">
        <f>D5/D9</f>
        <v>#VALUE!</v>
      </c>
      <c r="E16" s="170" t="e">
        <f>D16-F16</f>
        <v>#VALUE!</v>
      </c>
      <c r="F16" s="171" t="e">
        <f>F5/F9</f>
        <v>#VALUE!</v>
      </c>
      <c r="H16" s="169" t="e">
        <f>H5/H9</f>
        <v>#VALUE!</v>
      </c>
      <c r="J16" s="126" t="s">
        <v>92</v>
      </c>
    </row>
    <row r="17" spans="2:10" ht="16" x14ac:dyDescent="0.2">
      <c r="B17" s="172" t="s">
        <v>93</v>
      </c>
      <c r="C17" s="173"/>
      <c r="D17" s="174" t="e">
        <f>'Refine Calculation'!$E$16*D13</f>
        <v>#DIV/0!</v>
      </c>
      <c r="E17" s="175" t="e">
        <f>'Refine Calculation'!$E$16*E13</f>
        <v>#DIV/0!</v>
      </c>
      <c r="F17" s="176" t="e">
        <f>'Refine Calculation'!$E$16*F13</f>
        <v>#DIV/0!</v>
      </c>
      <c r="H17" s="174" t="e">
        <f>'Refine Calculation'!$E$16*H13</f>
        <v>#DIV/0!</v>
      </c>
      <c r="J17" s="124"/>
    </row>
    <row r="18" spans="2:10" ht="16" x14ac:dyDescent="0.2">
      <c r="B18" s="177" t="s">
        <v>94</v>
      </c>
      <c r="C18" s="178"/>
      <c r="D18" s="179" t="e">
        <f>D13*'Refine Calculation'!$F$12</f>
        <v>#DIV/0!</v>
      </c>
      <c r="E18" s="180" t="e">
        <f>E13*'Refine Calculation'!$F$12</f>
        <v>#DIV/0!</v>
      </c>
      <c r="F18" s="181" t="e">
        <f>F13*'Refine Calculation'!$F$12</f>
        <v>#DIV/0!</v>
      </c>
      <c r="H18" s="179" t="e">
        <f>H13*'Refine Calculation'!$F$12</f>
        <v>#DIV/0!</v>
      </c>
      <c r="J18" s="126"/>
    </row>
    <row r="19" spans="2:10" ht="16" x14ac:dyDescent="0.2">
      <c r="B19" s="182" t="s">
        <v>95</v>
      </c>
      <c r="C19" s="183"/>
      <c r="D19" s="184" t="e">
        <f>SUM(D16:D18)</f>
        <v>#VALUE!</v>
      </c>
      <c r="E19" s="185" t="e">
        <f>SUM(E16:E18)</f>
        <v>#VALUE!</v>
      </c>
      <c r="F19" s="186" t="e">
        <f>D19-E19</f>
        <v>#VALUE!</v>
      </c>
      <c r="G19" s="124" t="e">
        <f>H19-D19</f>
        <v>#VALUE!</v>
      </c>
      <c r="H19" s="184" t="e">
        <f>SUM(H16:H18)</f>
        <v>#VALUE!</v>
      </c>
      <c r="J19" s="126" t="s">
        <v>96</v>
      </c>
    </row>
    <row r="20" spans="2:10" ht="16" x14ac:dyDescent="0.2">
      <c r="B20" s="134" t="s">
        <v>97</v>
      </c>
      <c r="C20" s="135"/>
      <c r="D20" s="187" t="e">
        <f>D19/'Refine Calculation'!$E$5</f>
        <v>#VALUE!</v>
      </c>
      <c r="E20" s="188" t="e">
        <f>-E19/'Refine Calculation'!$E$5</f>
        <v>#VALUE!</v>
      </c>
      <c r="F20" s="189" t="e">
        <f>F19/'Refine Calculation'!$E$5</f>
        <v>#VALUE!</v>
      </c>
      <c r="H20" s="187" t="e">
        <f>H19/'Refine Calculation'!$E$5</f>
        <v>#VALUE!</v>
      </c>
      <c r="J20" s="126" t="s">
        <v>96</v>
      </c>
    </row>
    <row r="21" spans="2:10" ht="16" x14ac:dyDescent="0.2">
      <c r="B21" s="134"/>
      <c r="C21" s="1"/>
      <c r="D21" s="158"/>
      <c r="E21" s="137"/>
      <c r="F21" s="190"/>
      <c r="H21" s="1"/>
      <c r="J21" s="126"/>
    </row>
    <row r="22" spans="2:10" ht="16" x14ac:dyDescent="0.2">
      <c r="B22" s="191" t="s">
        <v>98</v>
      </c>
      <c r="C22" s="192"/>
      <c r="D22" s="193">
        <f>IFERROR(D5/D20,0)</f>
        <v>0</v>
      </c>
      <c r="E22" s="194">
        <f t="shared" ref="E22:E23" si="1">F22-D22</f>
        <v>0</v>
      </c>
      <c r="F22" s="195">
        <f>IFERROR(F5/F20,0)</f>
        <v>0</v>
      </c>
      <c r="H22" s="193">
        <f>IFERROR(H5/H20,0)</f>
        <v>0</v>
      </c>
      <c r="J22" s="126" t="s">
        <v>99</v>
      </c>
    </row>
    <row r="23" spans="2:10" ht="16" x14ac:dyDescent="0.2">
      <c r="B23" s="164" t="s">
        <v>100</v>
      </c>
      <c r="C23" s="196"/>
      <c r="D23" s="197" t="e">
        <f>D5/D19</f>
        <v>#VALUE!</v>
      </c>
      <c r="E23" s="198" t="e">
        <f t="shared" si="1"/>
        <v>#VALUE!</v>
      </c>
      <c r="F23" s="199" t="e">
        <f>F5/F19</f>
        <v>#VALUE!</v>
      </c>
      <c r="G23" s="126" t="e">
        <f>H23-D23</f>
        <v>#VALUE!</v>
      </c>
      <c r="H23" s="197" t="e">
        <f>H5/H19</f>
        <v>#VALUE!</v>
      </c>
      <c r="I23" t="e">
        <f>H23-D23</f>
        <v>#VALUE!</v>
      </c>
    </row>
    <row r="24" spans="2:10" ht="16" x14ac:dyDescent="0.2">
      <c r="B24" s="200" t="s">
        <v>101</v>
      </c>
      <c r="C24" s="201"/>
      <c r="D24" s="202"/>
      <c r="E24" s="203" t="e">
        <f>E23/D23</f>
        <v>#VALUE!</v>
      </c>
      <c r="F24" s="204"/>
      <c r="G24" s="203" t="e">
        <f>G23/D23</f>
        <v>#VALUE!</v>
      </c>
      <c r="H24" s="1"/>
      <c r="I24" s="205" t="e">
        <f>I23/D23</f>
        <v>#VALUE!</v>
      </c>
    </row>
    <row r="25" spans="2:10" ht="16" x14ac:dyDescent="0.2">
      <c r="B25" s="134" t="s">
        <v>102</v>
      </c>
      <c r="C25" s="135"/>
      <c r="D25" s="136" t="e">
        <f>'PAYBACK Calculator'!$D$6/D8</f>
        <v>#VALUE!</v>
      </c>
      <c r="E25" s="206" t="e">
        <f t="shared" ref="E25:E26" si="2">F25-D25</f>
        <v>#VALUE!</v>
      </c>
      <c r="F25" s="138" t="e">
        <f>'PAYBACK Calculator'!$D$6/F8</f>
        <v>#VALUE!</v>
      </c>
      <c r="G25" s="126"/>
      <c r="H25" s="136" t="e">
        <f>'PAYBACK Calculator'!$D$6/H8</f>
        <v>#VALUE!</v>
      </c>
    </row>
    <row r="26" spans="2:10" ht="16" x14ac:dyDescent="0.2">
      <c r="B26" s="134" t="s">
        <v>103</v>
      </c>
      <c r="C26" s="135"/>
      <c r="D26" s="207" t="e">
        <f>D16/D20</f>
        <v>#VALUE!</v>
      </c>
      <c r="E26" s="208" t="e">
        <f t="shared" si="2"/>
        <v>#VALUE!</v>
      </c>
      <c r="F26" s="209" t="e">
        <f>F16/F20</f>
        <v>#VALUE!</v>
      </c>
      <c r="H26" s="1"/>
      <c r="J26" s="126" t="s">
        <v>85</v>
      </c>
    </row>
    <row r="27" spans="2:10" ht="16" x14ac:dyDescent="0.2">
      <c r="B27" s="134" t="s">
        <v>104</v>
      </c>
      <c r="C27" s="135"/>
      <c r="D27" s="210" t="e">
        <f>ROUND(D13/D20,0)</f>
        <v>#DIV/0!</v>
      </c>
      <c r="E27" s="211" t="e">
        <f>D27-F27</f>
        <v>#DIV/0!</v>
      </c>
      <c r="F27" s="212" t="e">
        <f>ROUND(F13/F20,0)</f>
        <v>#DIV/0!</v>
      </c>
      <c r="G27" s="126"/>
      <c r="H27" s="1"/>
    </row>
    <row r="28" spans="2:10" ht="16" x14ac:dyDescent="0.2">
      <c r="B28" s="134"/>
      <c r="C28" s="135"/>
      <c r="D28" s="210"/>
      <c r="E28" s="211"/>
      <c r="F28" s="212"/>
      <c r="G28" s="126"/>
      <c r="H28" s="1"/>
    </row>
    <row r="29" spans="2:10" ht="16" x14ac:dyDescent="0.2">
      <c r="B29" s="134" t="s">
        <v>105</v>
      </c>
      <c r="C29" s="135"/>
      <c r="D29" s="213" t="e">
        <f>D25/D10</f>
        <v>#VALUE!</v>
      </c>
      <c r="E29" s="211"/>
      <c r="F29" s="214" t="e">
        <f>F25/F10</f>
        <v>#VALUE!</v>
      </c>
      <c r="G29" s="126"/>
      <c r="H29" s="1"/>
    </row>
    <row r="30" spans="2:10" ht="16" x14ac:dyDescent="0.2">
      <c r="B30" s="134" t="s">
        <v>106</v>
      </c>
      <c r="C30" s="135"/>
      <c r="D30" s="215" t="e">
        <f>'Refine Calculation'!$F$12+'Refine Calculation'!$E$16+D29</f>
        <v>#VALUE!</v>
      </c>
      <c r="E30" s="216" t="e">
        <f>F30-D30</f>
        <v>#VALUE!</v>
      </c>
      <c r="F30" s="214" t="e">
        <f>'Refine Calculation'!$F$12+'Refine Calculation'!$E$16+F29</f>
        <v>#VALUE!</v>
      </c>
      <c r="G30" s="126"/>
      <c r="H30" s="1"/>
    </row>
    <row r="31" spans="2:10" ht="16" x14ac:dyDescent="0.2">
      <c r="B31" s="134"/>
      <c r="C31" s="135"/>
      <c r="D31" s="213"/>
      <c r="E31" s="217" t="e">
        <f>E30/D30</f>
        <v>#VALUE!</v>
      </c>
      <c r="F31" s="218"/>
      <c r="G31" s="126"/>
      <c r="H31" s="1"/>
    </row>
    <row r="32" spans="2:10" ht="16" x14ac:dyDescent="0.2">
      <c r="B32" s="134"/>
      <c r="C32" s="1"/>
      <c r="D32" s="165"/>
      <c r="E32" s="137"/>
      <c r="F32" s="166"/>
      <c r="G32" s="126"/>
      <c r="H32" s="1"/>
    </row>
    <row r="33" spans="2:8" ht="16" x14ac:dyDescent="0.2">
      <c r="B33" s="182" t="s">
        <v>107</v>
      </c>
      <c r="C33" s="219"/>
      <c r="D33" s="220"/>
      <c r="E33" s="221"/>
      <c r="F33" s="222"/>
      <c r="G33" s="126"/>
      <c r="H33" s="1"/>
    </row>
    <row r="34" spans="2:8" ht="16" x14ac:dyDescent="0.2">
      <c r="B34" s="134" t="s">
        <v>108</v>
      </c>
      <c r="C34" s="135"/>
      <c r="D34" s="223" t="e">
        <f>SUM(D16:D18)</f>
        <v>#VALUE!</v>
      </c>
      <c r="E34" s="224" t="e">
        <f>D34-F34</f>
        <v>#VALUE!</v>
      </c>
      <c r="F34" s="225" t="e">
        <f>SUM(F16:F18)</f>
        <v>#VALUE!</v>
      </c>
      <c r="G34" s="126"/>
      <c r="H34" s="223" t="e">
        <f>SUM(H16:H18)</f>
        <v>#VALUE!</v>
      </c>
    </row>
    <row r="35" spans="2:8" ht="16" x14ac:dyDescent="0.2">
      <c r="B35" s="134" t="s">
        <v>107</v>
      </c>
      <c r="C35" s="135"/>
      <c r="D35" s="226" t="e">
        <f>D34*'Refine Calculation'!$E$4</f>
        <v>#VALUE!</v>
      </c>
      <c r="E35" s="227" t="e">
        <f>E34*'Refine Calculation'!$E$4</f>
        <v>#VALUE!</v>
      </c>
      <c r="F35" s="228" t="e">
        <f>F34*'Refine Calculation'!$E$4</f>
        <v>#VALUE!</v>
      </c>
      <c r="G35" s="126"/>
      <c r="H35" s="226" t="e">
        <f>H34*'Refine Calculation'!$E$4</f>
        <v>#VALUE!</v>
      </c>
    </row>
    <row r="36" spans="2:8" ht="16" x14ac:dyDescent="0.2">
      <c r="B36" s="229" t="s">
        <v>109</v>
      </c>
      <c r="C36" s="230"/>
      <c r="D36" s="231" t="e">
        <f>D35/'PAYBACK Calculator'!C14</f>
        <v>#VALUE!</v>
      </c>
      <c r="E36" s="232"/>
      <c r="F36" s="233" t="e">
        <f>F35/F5</f>
        <v>#VALUE!</v>
      </c>
      <c r="G36" s="126"/>
      <c r="H36" s="231" t="e">
        <f>H35/H5</f>
        <v>#VALUE!</v>
      </c>
    </row>
    <row r="37" spans="2:8" ht="16" x14ac:dyDescent="0.2">
      <c r="B37" s="229"/>
      <c r="C37" s="230"/>
      <c r="D37" s="234"/>
      <c r="E37" s="232"/>
      <c r="F37" s="235"/>
      <c r="G37" s="126"/>
      <c r="H37" s="1"/>
    </row>
    <row r="38" spans="2:8" ht="16" x14ac:dyDescent="0.2">
      <c r="B38" s="164" t="s">
        <v>110</v>
      </c>
      <c r="C38" s="1"/>
      <c r="D38" s="165"/>
      <c r="E38" s="137"/>
      <c r="F38" s="166"/>
      <c r="G38" s="126"/>
      <c r="H38" s="1"/>
    </row>
    <row r="39" spans="2:8" s="20" customFormat="1" ht="16" x14ac:dyDescent="0.2">
      <c r="B39" s="236" t="s">
        <v>22</v>
      </c>
      <c r="C39" s="237"/>
      <c r="D39" s="238">
        <f>'PAYBACK Calculator'!B18</f>
        <v>0</v>
      </c>
      <c r="E39" s="239">
        <f>IFERROR('PAYBACK Calculator'!B18*'PAYBACK Calculator'!D30,"")</f>
        <v>0</v>
      </c>
      <c r="F39" s="240">
        <f>D39-E39</f>
        <v>0</v>
      </c>
      <c r="G39" s="126">
        <f t="shared" ref="G39:G45" si="3">H39-D39</f>
        <v>0</v>
      </c>
      <c r="H39" s="238">
        <f>D39*(1+H4)</f>
        <v>0</v>
      </c>
    </row>
    <row r="40" spans="2:8" s="20" customFormat="1" ht="16" x14ac:dyDescent="0.2">
      <c r="B40" s="134" t="s">
        <v>23</v>
      </c>
      <c r="C40" s="135"/>
      <c r="D40" s="241" t="e">
        <f>D19*'Refine Calculation'!$G$5</f>
        <v>#VALUE!</v>
      </c>
      <c r="E40" s="242" t="e">
        <f>E19*'Refine Calculation'!$G$5</f>
        <v>#VALUE!</v>
      </c>
      <c r="F40" s="243" t="e">
        <f>F19*'Refine Calculation'!$G$5</f>
        <v>#VALUE!</v>
      </c>
      <c r="G40" s="126" t="e">
        <f t="shared" si="3"/>
        <v>#VALUE!</v>
      </c>
      <c r="H40" s="241" t="e">
        <f>H19*'Refine Calculation'!$G$5</f>
        <v>#VALUE!</v>
      </c>
    </row>
    <row r="41" spans="2:8" ht="16" x14ac:dyDescent="0.2">
      <c r="B41" s="134" t="s">
        <v>25</v>
      </c>
      <c r="C41" s="135"/>
      <c r="D41" s="244" t="e">
        <f>D35*'Refine Calculation'!$G$4</f>
        <v>#VALUE!</v>
      </c>
      <c r="E41" s="242" t="e">
        <f>E35*'Refine Calculation'!$G$4</f>
        <v>#VALUE!</v>
      </c>
      <c r="F41" s="245" t="e">
        <f>F35*'Refine Calculation'!$G$4</f>
        <v>#VALUE!</v>
      </c>
      <c r="G41" s="126" t="e">
        <f t="shared" si="3"/>
        <v>#VALUE!</v>
      </c>
      <c r="H41" s="244" t="e">
        <f>H35*'Refine Calculation'!$G$4</f>
        <v>#VALUE!</v>
      </c>
    </row>
    <row r="42" spans="2:8" s="15" customFormat="1" ht="16" x14ac:dyDescent="0.2">
      <c r="B42" s="134" t="s">
        <v>111</v>
      </c>
      <c r="C42" s="135"/>
      <c r="D42" s="241">
        <f>(D7/1000)*'Refine Calculation'!$G$6</f>
        <v>0</v>
      </c>
      <c r="E42" s="242">
        <f>(E7/1000)*'Refine Calculation'!$G$6</f>
        <v>0</v>
      </c>
      <c r="F42" s="243">
        <f>(F7/1000)*'Refine Calculation'!$G$6</f>
        <v>0</v>
      </c>
      <c r="G42" s="126">
        <f t="shared" si="3"/>
        <v>0</v>
      </c>
      <c r="H42" s="241">
        <f>(H7/1000)*'Refine Calculation'!$G$6</f>
        <v>0</v>
      </c>
    </row>
    <row r="43" spans="2:8" ht="16" x14ac:dyDescent="0.2">
      <c r="B43" s="134" t="s">
        <v>112</v>
      </c>
      <c r="C43" s="135"/>
      <c r="D43" s="244">
        <f>'Refine Calculation'!$E$17</f>
        <v>0</v>
      </c>
      <c r="E43" s="242">
        <f>-D43*'Refine Calculation'!E18</f>
        <v>0</v>
      </c>
      <c r="F43" s="245">
        <f>D43-E43</f>
        <v>0</v>
      </c>
      <c r="G43" s="126">
        <f t="shared" si="3"/>
        <v>0</v>
      </c>
      <c r="H43" s="244">
        <f>'Refine Calculation'!$E$17*(1+'PAYBACK Calculator'!B62)</f>
        <v>0</v>
      </c>
    </row>
    <row r="44" spans="2:8" ht="16" x14ac:dyDescent="0.2">
      <c r="B44" s="134" t="s">
        <v>113</v>
      </c>
      <c r="C44" s="135"/>
      <c r="D44" s="244"/>
      <c r="E44" s="242"/>
      <c r="F44" s="245"/>
      <c r="G44" s="126">
        <f t="shared" si="3"/>
        <v>0</v>
      </c>
      <c r="H44" s="1"/>
    </row>
    <row r="45" spans="2:8" ht="16" x14ac:dyDescent="0.2">
      <c r="B45" s="134" t="s">
        <v>114</v>
      </c>
      <c r="C45" s="135"/>
      <c r="D45" s="244" t="e">
        <f>D34*'Refine Calculation'!$G$7</f>
        <v>#VALUE!</v>
      </c>
      <c r="E45" s="242" t="e">
        <f>E34*'Refine Calculation'!$G$7</f>
        <v>#VALUE!</v>
      </c>
      <c r="F45" s="245" t="e">
        <f>F34*'Refine Calculation'!$G$7</f>
        <v>#VALUE!</v>
      </c>
      <c r="G45" s="126" t="e">
        <f t="shared" si="3"/>
        <v>#VALUE!</v>
      </c>
      <c r="H45" s="244" t="e">
        <f>H34*'Refine Calculation'!$G$7</f>
        <v>#VALUE!</v>
      </c>
    </row>
    <row r="46" spans="2:8" ht="16" x14ac:dyDescent="0.2">
      <c r="B46" s="246" t="s">
        <v>110</v>
      </c>
      <c r="C46" s="247"/>
      <c r="D46" s="248" t="e">
        <f>SUM(D39:D45)</f>
        <v>#VALUE!</v>
      </c>
      <c r="E46" s="249" t="e">
        <f>-SUM(E39:E45)</f>
        <v>#VALUE!</v>
      </c>
      <c r="F46" s="250" t="e">
        <f>SUM(F39:F45)</f>
        <v>#VALUE!</v>
      </c>
      <c r="G46" s="126"/>
      <c r="H46" s="248" t="e">
        <f>SUM(H39:H45)</f>
        <v>#VALUE!</v>
      </c>
    </row>
    <row r="47" spans="2:8" ht="16" x14ac:dyDescent="0.2">
      <c r="B47" s="251"/>
      <c r="C47" s="252"/>
      <c r="D47" s="252"/>
      <c r="E47" s="252"/>
      <c r="F47" s="253"/>
      <c r="G47" s="126"/>
      <c r="H47" s="1" t="e">
        <f>H46-D46</f>
        <v>#VALUE!</v>
      </c>
    </row>
    <row r="48" spans="2:8" ht="16" x14ac:dyDescent="0.2">
      <c r="B48" s="140"/>
      <c r="C48" s="140"/>
      <c r="D48" s="140"/>
      <c r="E48" s="140"/>
      <c r="F48" s="140"/>
      <c r="G48" s="126"/>
      <c r="H48" s="1"/>
    </row>
    <row r="49" spans="1:14" ht="16" x14ac:dyDescent="0.2">
      <c r="B49" s="254" t="s">
        <v>115</v>
      </c>
      <c r="C49" s="254"/>
      <c r="D49" s="255" t="e">
        <f>Settings!$G$53/SUM('Detailed results'!E39:E45)</f>
        <v>#N/A</v>
      </c>
      <c r="E49" s="256" t="e">
        <f>12.5-D49</f>
        <v>#N/A</v>
      </c>
      <c r="F49" s="256">
        <v>7.5</v>
      </c>
      <c r="G49" s="126"/>
      <c r="H49" s="255" t="e">
        <f>Settings!$G$53/SUM(G39:G45)</f>
        <v>#N/A</v>
      </c>
    </row>
    <row r="50" spans="1:14" ht="16" x14ac:dyDescent="0.2">
      <c r="B50" s="254"/>
      <c r="C50" s="254"/>
      <c r="D50" s="257" t="e">
        <f>D49*12</f>
        <v>#N/A</v>
      </c>
      <c r="E50" s="140"/>
      <c r="F50" s="258"/>
      <c r="G50" s="126"/>
      <c r="H50" s="257" t="e">
        <f>H49*12</f>
        <v>#N/A</v>
      </c>
    </row>
    <row r="51" spans="1:14" ht="16" x14ac:dyDescent="0.2">
      <c r="E51" s="20"/>
      <c r="F51" s="20"/>
      <c r="G51" s="259" t="s">
        <v>116</v>
      </c>
      <c r="H51" s="260"/>
    </row>
    <row r="52" spans="1:14" s="127" customFormat="1" ht="51" x14ac:dyDescent="0.2">
      <c r="D52" s="261" t="str">
        <f>CONCATENATE("TODAY"," - ",'PAYBACK Calculator'!E15," gpa")</f>
        <v>TODAY -  gpa</v>
      </c>
      <c r="E52" s="261"/>
      <c r="F52" s="261" t="str">
        <f>CONCATENATE("WITH MAGROWTEC"," - ",'PAYBACK Calculator'!B31," gpa")</f>
        <v>WITH MAGROWTEC -  gpa</v>
      </c>
      <c r="G52" s="261" t="str">
        <f>CONCATENATE("WITH MAGROWTEC"," - ",'PAYBACK Calculator'!E15," gpa")</f>
        <v>WITH MAGROWTEC -  gpa</v>
      </c>
      <c r="H52" s="261" t="str">
        <f>CONCATENATE("WITHOUT MAGROWTEC"," - ",'PAYBACK Calculator'!C62," gpa")</f>
        <v>WITHOUT MAGROWTEC -  gpa</v>
      </c>
    </row>
    <row r="53" spans="1:14" ht="16" x14ac:dyDescent="0.2">
      <c r="A53" s="20"/>
      <c r="C53" s="20" t="s">
        <v>117</v>
      </c>
      <c r="D53" s="262">
        <f t="shared" ref="D53:D55" si="4">D39</f>
        <v>0</v>
      </c>
      <c r="F53" s="20">
        <f t="shared" ref="F53:F55" si="5">F39</f>
        <v>0</v>
      </c>
      <c r="G53" s="124">
        <f t="shared" ref="G53:G55" si="6">D53</f>
        <v>0</v>
      </c>
      <c r="H53" s="20">
        <f t="shared" ref="H53:H55" si="7">H39</f>
        <v>0</v>
      </c>
    </row>
    <row r="54" spans="1:14" ht="16" x14ac:dyDescent="0.2">
      <c r="A54" s="20"/>
      <c r="C54" s="20" t="s">
        <v>45</v>
      </c>
      <c r="D54" s="262" t="e">
        <f t="shared" si="4"/>
        <v>#VALUE!</v>
      </c>
      <c r="F54" s="20" t="e">
        <f t="shared" si="5"/>
        <v>#VALUE!</v>
      </c>
      <c r="G54" s="124" t="e">
        <f t="shared" si="6"/>
        <v>#VALUE!</v>
      </c>
      <c r="H54" s="20" t="e">
        <f t="shared" si="7"/>
        <v>#VALUE!</v>
      </c>
    </row>
    <row r="55" spans="1:14" ht="16" x14ac:dyDescent="0.2">
      <c r="A55" s="20"/>
      <c r="C55" s="20" t="s">
        <v>42</v>
      </c>
      <c r="D55" s="262" t="e">
        <f t="shared" si="4"/>
        <v>#VALUE!</v>
      </c>
      <c r="E55" s="20"/>
      <c r="F55" s="20" t="e">
        <f t="shared" si="5"/>
        <v>#VALUE!</v>
      </c>
      <c r="G55" s="124" t="e">
        <f t="shared" si="6"/>
        <v>#VALUE!</v>
      </c>
      <c r="H55" s="20" t="e">
        <f t="shared" si="7"/>
        <v>#VALUE!</v>
      </c>
      <c r="N55" s="263"/>
    </row>
    <row r="56" spans="1:14" ht="16" x14ac:dyDescent="0.2">
      <c r="A56" s="20"/>
      <c r="B56" s="20"/>
      <c r="C56" s="20" t="s">
        <v>118</v>
      </c>
      <c r="D56" s="262" t="e">
        <f>D45</f>
        <v>#VALUE!</v>
      </c>
      <c r="E56" s="20"/>
      <c r="F56" s="262" t="e">
        <f>Settings!G54+F45</f>
        <v>#N/A</v>
      </c>
      <c r="G56" s="124" t="e">
        <f>D56+Settings!G54</f>
        <v>#VALUE!</v>
      </c>
      <c r="H56" s="20" t="e">
        <f>H45</f>
        <v>#VALUE!</v>
      </c>
    </row>
    <row r="57" spans="1:14" ht="16" x14ac:dyDescent="0.2">
      <c r="A57" s="20"/>
      <c r="C57" s="20" t="s">
        <v>119</v>
      </c>
      <c r="D57" s="262">
        <f>SUM(D42:D44)</f>
        <v>0</v>
      </c>
      <c r="E57" s="20"/>
      <c r="F57" s="262">
        <f>SUM(F42:F44)</f>
        <v>0</v>
      </c>
      <c r="G57" s="124">
        <f>F57</f>
        <v>0</v>
      </c>
      <c r="H57" s="262">
        <f>SUM(H42:H44)</f>
        <v>0</v>
      </c>
    </row>
    <row r="58" spans="1:14" ht="16" x14ac:dyDescent="0.2">
      <c r="B58" s="20"/>
      <c r="D58" t="e">
        <f>SUM(D53:D57)</f>
        <v>#VALUE!</v>
      </c>
      <c r="F58" s="15" t="e">
        <f>SUM(F53:F57)</f>
        <v>#VALUE!</v>
      </c>
      <c r="H58" s="15" t="e">
        <f>SUM(H53:H57)</f>
        <v>#VALUE!</v>
      </c>
    </row>
    <row r="59" spans="1:14" ht="16" x14ac:dyDescent="0.2">
      <c r="C59" s="20"/>
      <c r="D59" s="20"/>
      <c r="E59" s="20"/>
      <c r="F59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2F2F2"/>
  </sheetPr>
  <dimension ref="A1:Q87"/>
  <sheetViews>
    <sheetView showGridLines="0" workbookViewId="0"/>
  </sheetViews>
  <sheetFormatPr baseColWidth="10" defaultColWidth="8.83203125" defaultRowHeight="15" customHeight="1" x14ac:dyDescent="0.2"/>
  <cols>
    <col min="1" max="1" width="24"/>
    <col min="2" max="2" width="6.1640625"/>
    <col min="3" max="4" width="11.1640625"/>
    <col min="5" max="5" width="31"/>
    <col min="6" max="14" width="11.1640625"/>
    <col min="15" max="15" width="14"/>
    <col min="16" max="1025" width="11.1640625"/>
    <col min="1026" max="2048" width="10.6640625"/>
  </cols>
  <sheetData>
    <row r="1" spans="1:17" ht="16" x14ac:dyDescent="0.2">
      <c r="J1" s="15" t="s">
        <v>120</v>
      </c>
      <c r="K1" s="15" t="s">
        <v>121</v>
      </c>
      <c r="L1" s="15" t="s">
        <v>122</v>
      </c>
    </row>
    <row r="2" spans="1:17" ht="16" x14ac:dyDescent="0.2">
      <c r="D2" s="15" t="s">
        <v>123</v>
      </c>
      <c r="E2" s="64" t="s">
        <v>124</v>
      </c>
      <c r="F2" s="15" t="s">
        <v>7</v>
      </c>
      <c r="J2" s="264">
        <v>2.5000000000000001E-2</v>
      </c>
      <c r="K2" s="264">
        <v>2.5000000000000001E-2</v>
      </c>
      <c r="L2" s="15">
        <v>5</v>
      </c>
      <c r="N2" s="265" t="s">
        <v>125</v>
      </c>
      <c r="O2" s="15" t="s">
        <v>126</v>
      </c>
      <c r="P2" s="15" t="s">
        <v>7</v>
      </c>
      <c r="Q2" s="15" t="s">
        <v>127</v>
      </c>
    </row>
    <row r="3" spans="1:17" ht="16" x14ac:dyDescent="0.2">
      <c r="A3" s="266" t="s">
        <v>125</v>
      </c>
      <c r="B3" s="267" t="s">
        <v>128</v>
      </c>
      <c r="D3" s="268">
        <v>2000</v>
      </c>
      <c r="E3" s="15">
        <v>1</v>
      </c>
      <c r="F3" s="269">
        <v>5</v>
      </c>
      <c r="G3" s="270" t="s">
        <v>129</v>
      </c>
      <c r="I3" s="270" t="s">
        <v>130</v>
      </c>
      <c r="J3" s="271">
        <v>0</v>
      </c>
      <c r="K3" s="271">
        <v>0</v>
      </c>
      <c r="L3" s="272">
        <v>5</v>
      </c>
      <c r="N3" s="273" t="s">
        <v>131</v>
      </c>
    </row>
    <row r="4" spans="1:17" ht="16" x14ac:dyDescent="0.2">
      <c r="A4" s="274" t="s">
        <v>132</v>
      </c>
      <c r="B4" s="275"/>
      <c r="D4" s="268">
        <v>1600</v>
      </c>
      <c r="E4" s="15">
        <f t="shared" ref="E4:E22" si="0">E3+1</f>
        <v>2</v>
      </c>
      <c r="F4" s="269">
        <f t="shared" ref="F4:F23" si="1">F3+1</f>
        <v>6</v>
      </c>
      <c r="G4" s="270" t="s">
        <v>133</v>
      </c>
      <c r="I4" s="270" t="s">
        <v>134</v>
      </c>
      <c r="J4" s="276">
        <f t="shared" ref="J4:J17" si="2">J3+$J$2</f>
        <v>2.5000000000000001E-2</v>
      </c>
      <c r="K4" s="276">
        <f t="shared" ref="K4:K25" si="3">K3+$J$2</f>
        <v>2.5000000000000001E-2</v>
      </c>
      <c r="L4" s="272">
        <f t="shared" ref="L4:L14" si="4">L3+$L$2</f>
        <v>10</v>
      </c>
      <c r="N4" s="15" t="s">
        <v>135</v>
      </c>
    </row>
    <row r="5" spans="1:17" ht="16" x14ac:dyDescent="0.2">
      <c r="A5" s="274" t="s">
        <v>136</v>
      </c>
      <c r="B5" s="275"/>
      <c r="D5" s="268">
        <v>1200</v>
      </c>
      <c r="E5" s="15">
        <f t="shared" si="0"/>
        <v>3</v>
      </c>
      <c r="F5" s="269">
        <f t="shared" si="1"/>
        <v>7</v>
      </c>
      <c r="J5" s="276">
        <f t="shared" si="2"/>
        <v>0.05</v>
      </c>
      <c r="K5" s="276">
        <f t="shared" si="3"/>
        <v>0.05</v>
      </c>
      <c r="L5" s="272">
        <f t="shared" si="4"/>
        <v>15</v>
      </c>
      <c r="N5" s="15" t="s">
        <v>137</v>
      </c>
    </row>
    <row r="6" spans="1:17" ht="16" x14ac:dyDescent="0.2">
      <c r="A6" s="274" t="s">
        <v>138</v>
      </c>
      <c r="B6" s="275"/>
      <c r="D6" s="268">
        <v>1100</v>
      </c>
      <c r="E6" s="15">
        <f t="shared" si="0"/>
        <v>4</v>
      </c>
      <c r="F6" s="269">
        <f t="shared" si="1"/>
        <v>8</v>
      </c>
      <c r="J6" s="276">
        <f t="shared" si="2"/>
        <v>7.5000000000000011E-2</v>
      </c>
      <c r="K6" s="276">
        <f t="shared" si="3"/>
        <v>7.5000000000000011E-2</v>
      </c>
      <c r="L6" s="272">
        <f t="shared" si="4"/>
        <v>20</v>
      </c>
      <c r="N6" s="15" t="s">
        <v>139</v>
      </c>
    </row>
    <row r="7" spans="1:17" ht="16" x14ac:dyDescent="0.2">
      <c r="A7" s="274" t="s">
        <v>140</v>
      </c>
      <c r="B7" s="275"/>
      <c r="D7" s="268">
        <v>1000</v>
      </c>
      <c r="E7" s="15">
        <f t="shared" si="0"/>
        <v>5</v>
      </c>
      <c r="F7" s="269">
        <f t="shared" si="1"/>
        <v>9</v>
      </c>
      <c r="J7" s="276">
        <f t="shared" si="2"/>
        <v>0.1</v>
      </c>
      <c r="K7" s="276">
        <f t="shared" si="3"/>
        <v>0.1</v>
      </c>
      <c r="L7" s="272">
        <f t="shared" si="4"/>
        <v>25</v>
      </c>
      <c r="N7" s="15" t="s">
        <v>141</v>
      </c>
    </row>
    <row r="8" spans="1:17" ht="16" x14ac:dyDescent="0.2">
      <c r="A8" s="274" t="s">
        <v>142</v>
      </c>
      <c r="B8" s="275"/>
      <c r="D8" s="268">
        <v>900</v>
      </c>
      <c r="E8" s="15">
        <f t="shared" si="0"/>
        <v>6</v>
      </c>
      <c r="F8" s="269">
        <f t="shared" si="1"/>
        <v>10</v>
      </c>
      <c r="J8" s="276">
        <f t="shared" si="2"/>
        <v>0.125</v>
      </c>
      <c r="K8" s="276">
        <f t="shared" si="3"/>
        <v>0.125</v>
      </c>
      <c r="L8" s="272">
        <f t="shared" si="4"/>
        <v>30</v>
      </c>
      <c r="N8" s="15" t="s">
        <v>143</v>
      </c>
    </row>
    <row r="9" spans="1:17" ht="16" x14ac:dyDescent="0.2">
      <c r="A9" s="274" t="s">
        <v>144</v>
      </c>
      <c r="B9" s="275"/>
      <c r="D9" s="268">
        <v>800</v>
      </c>
      <c r="E9" s="15">
        <f t="shared" si="0"/>
        <v>7</v>
      </c>
      <c r="F9" s="269">
        <f t="shared" si="1"/>
        <v>11</v>
      </c>
      <c r="J9" s="276">
        <f t="shared" si="2"/>
        <v>0.15</v>
      </c>
      <c r="K9" s="276">
        <f t="shared" si="3"/>
        <v>0.15</v>
      </c>
      <c r="L9" s="272">
        <f t="shared" si="4"/>
        <v>35</v>
      </c>
      <c r="N9" s="20" t="s">
        <v>145</v>
      </c>
    </row>
    <row r="10" spans="1:17" ht="16" x14ac:dyDescent="0.2">
      <c r="A10" s="274" t="s">
        <v>146</v>
      </c>
      <c r="B10" s="275"/>
      <c r="D10" s="268">
        <v>700</v>
      </c>
      <c r="E10" s="15">
        <f t="shared" si="0"/>
        <v>8</v>
      </c>
      <c r="F10" s="269">
        <f t="shared" si="1"/>
        <v>12</v>
      </c>
      <c r="J10" s="276">
        <f t="shared" si="2"/>
        <v>0.17499999999999999</v>
      </c>
      <c r="K10" s="276">
        <f t="shared" si="3"/>
        <v>0.17499999999999999</v>
      </c>
      <c r="L10" s="272">
        <f t="shared" si="4"/>
        <v>40</v>
      </c>
      <c r="M10" s="20"/>
      <c r="N10" t="s">
        <v>147</v>
      </c>
      <c r="O10" s="20"/>
    </row>
    <row r="11" spans="1:17" ht="16" x14ac:dyDescent="0.2">
      <c r="A11" s="274" t="s">
        <v>148</v>
      </c>
      <c r="B11" s="275"/>
      <c r="D11" s="268">
        <v>600</v>
      </c>
      <c r="E11" s="15">
        <f t="shared" si="0"/>
        <v>9</v>
      </c>
      <c r="F11" s="269">
        <f t="shared" si="1"/>
        <v>13</v>
      </c>
      <c r="J11" s="276">
        <f t="shared" si="2"/>
        <v>0.19999999999999998</v>
      </c>
      <c r="K11" s="276">
        <f t="shared" si="3"/>
        <v>0.19999999999999998</v>
      </c>
      <c r="L11" s="272">
        <f t="shared" si="4"/>
        <v>45</v>
      </c>
      <c r="M11" s="20"/>
      <c r="N11" s="20" t="s">
        <v>149</v>
      </c>
      <c r="O11" s="20"/>
    </row>
    <row r="12" spans="1:17" ht="16" x14ac:dyDescent="0.2">
      <c r="A12" s="274" t="s">
        <v>150</v>
      </c>
      <c r="B12" s="275"/>
      <c r="D12" s="268">
        <v>500</v>
      </c>
      <c r="E12" s="15">
        <f t="shared" si="0"/>
        <v>10</v>
      </c>
      <c r="F12" s="269">
        <f t="shared" si="1"/>
        <v>14</v>
      </c>
      <c r="J12" s="276">
        <f t="shared" si="2"/>
        <v>0.22499999999999998</v>
      </c>
      <c r="K12" s="276">
        <f t="shared" si="3"/>
        <v>0.22499999999999998</v>
      </c>
      <c r="L12" s="272">
        <f t="shared" si="4"/>
        <v>50</v>
      </c>
      <c r="N12" s="20" t="s">
        <v>151</v>
      </c>
    </row>
    <row r="13" spans="1:17" ht="16" x14ac:dyDescent="0.2">
      <c r="A13" s="274" t="s">
        <v>152</v>
      </c>
      <c r="B13" s="275"/>
      <c r="D13" s="268">
        <v>400</v>
      </c>
      <c r="E13" s="15">
        <f t="shared" si="0"/>
        <v>11</v>
      </c>
      <c r="F13" s="269">
        <f t="shared" si="1"/>
        <v>15</v>
      </c>
      <c r="J13" s="276">
        <f t="shared" si="2"/>
        <v>0.24999999999999997</v>
      </c>
      <c r="K13" s="276">
        <f t="shared" si="3"/>
        <v>0.24999999999999997</v>
      </c>
      <c r="L13" s="272">
        <f t="shared" si="4"/>
        <v>55</v>
      </c>
      <c r="N13" s="15" t="s">
        <v>153</v>
      </c>
    </row>
    <row r="14" spans="1:17" ht="16" x14ac:dyDescent="0.2">
      <c r="A14" s="274" t="s">
        <v>154</v>
      </c>
      <c r="B14" s="275"/>
      <c r="D14" s="268">
        <v>300</v>
      </c>
      <c r="E14" s="15">
        <f t="shared" si="0"/>
        <v>12</v>
      </c>
      <c r="F14" s="269">
        <f t="shared" si="1"/>
        <v>16</v>
      </c>
      <c r="J14" s="276">
        <f t="shared" si="2"/>
        <v>0.27499999999999997</v>
      </c>
      <c r="K14" s="276">
        <f t="shared" si="3"/>
        <v>0.27499999999999997</v>
      </c>
      <c r="L14" s="272">
        <f t="shared" si="4"/>
        <v>60</v>
      </c>
      <c r="N14" s="277" t="s">
        <v>155</v>
      </c>
    </row>
    <row r="15" spans="1:17" ht="16" x14ac:dyDescent="0.2">
      <c r="A15" s="274" t="s">
        <v>156</v>
      </c>
      <c r="B15" s="275"/>
      <c r="E15" s="15">
        <f t="shared" si="0"/>
        <v>13</v>
      </c>
      <c r="F15" s="269">
        <f t="shared" si="1"/>
        <v>17</v>
      </c>
      <c r="J15" s="276">
        <f t="shared" si="2"/>
        <v>0.3</v>
      </c>
      <c r="K15" s="276">
        <f t="shared" si="3"/>
        <v>0.3</v>
      </c>
      <c r="L15" s="278"/>
    </row>
    <row r="16" spans="1:17" ht="16" x14ac:dyDescent="0.2">
      <c r="A16" s="274" t="s">
        <v>157</v>
      </c>
      <c r="B16" s="275"/>
      <c r="E16" s="15">
        <f t="shared" si="0"/>
        <v>14</v>
      </c>
      <c r="F16" s="269">
        <f t="shared" si="1"/>
        <v>18</v>
      </c>
      <c r="J16" s="276">
        <f t="shared" si="2"/>
        <v>0.32500000000000001</v>
      </c>
      <c r="K16" s="276">
        <f t="shared" si="3"/>
        <v>0.32500000000000001</v>
      </c>
    </row>
    <row r="17" spans="1:11" ht="16" x14ac:dyDescent="0.2">
      <c r="A17" s="274" t="s">
        <v>158</v>
      </c>
      <c r="B17" s="275"/>
      <c r="E17" s="15">
        <f t="shared" si="0"/>
        <v>15</v>
      </c>
      <c r="F17" s="269">
        <f t="shared" si="1"/>
        <v>19</v>
      </c>
      <c r="J17" s="276">
        <f t="shared" si="2"/>
        <v>0.35000000000000003</v>
      </c>
      <c r="K17" s="276">
        <f t="shared" si="3"/>
        <v>0.35000000000000003</v>
      </c>
    </row>
    <row r="18" spans="1:11" ht="16" x14ac:dyDescent="0.2">
      <c r="A18" s="274" t="s">
        <v>159</v>
      </c>
      <c r="B18" s="275"/>
      <c r="E18" s="15">
        <f t="shared" si="0"/>
        <v>16</v>
      </c>
      <c r="F18" s="269">
        <f t="shared" si="1"/>
        <v>20</v>
      </c>
      <c r="J18" s="264"/>
      <c r="K18" s="276">
        <f t="shared" si="3"/>
        <v>0.37500000000000006</v>
      </c>
    </row>
    <row r="19" spans="1:11" ht="16" x14ac:dyDescent="0.2">
      <c r="A19" s="279" t="s">
        <v>160</v>
      </c>
      <c r="B19" s="275"/>
      <c r="E19" s="15">
        <f t="shared" si="0"/>
        <v>17</v>
      </c>
      <c r="F19" s="269">
        <f t="shared" si="1"/>
        <v>21</v>
      </c>
      <c r="J19" s="264"/>
      <c r="K19" s="276">
        <f t="shared" si="3"/>
        <v>0.40000000000000008</v>
      </c>
    </row>
    <row r="20" spans="1:11" ht="16" x14ac:dyDescent="0.2">
      <c r="A20" s="274" t="s">
        <v>161</v>
      </c>
      <c r="B20" s="275"/>
      <c r="E20" s="15">
        <f t="shared" si="0"/>
        <v>18</v>
      </c>
      <c r="F20" s="269">
        <f t="shared" si="1"/>
        <v>22</v>
      </c>
      <c r="J20" s="264"/>
      <c r="K20" s="276">
        <f t="shared" si="3"/>
        <v>0.4250000000000001</v>
      </c>
    </row>
    <row r="21" spans="1:11" ht="16" x14ac:dyDescent="0.2">
      <c r="A21" s="274" t="s">
        <v>162</v>
      </c>
      <c r="B21" s="275"/>
      <c r="E21" s="15">
        <f t="shared" si="0"/>
        <v>19</v>
      </c>
      <c r="F21" s="269">
        <f t="shared" si="1"/>
        <v>23</v>
      </c>
      <c r="K21" s="276">
        <f t="shared" si="3"/>
        <v>0.45000000000000012</v>
      </c>
    </row>
    <row r="22" spans="1:11" ht="16" x14ac:dyDescent="0.2">
      <c r="A22" s="274" t="s">
        <v>163</v>
      </c>
      <c r="B22" s="275"/>
      <c r="E22" s="15">
        <f t="shared" si="0"/>
        <v>20</v>
      </c>
      <c r="F22" s="269">
        <f t="shared" si="1"/>
        <v>24</v>
      </c>
      <c r="K22" s="276">
        <f t="shared" si="3"/>
        <v>0.47500000000000014</v>
      </c>
    </row>
    <row r="23" spans="1:11" ht="16" x14ac:dyDescent="0.2">
      <c r="A23" s="274" t="s">
        <v>164</v>
      </c>
      <c r="B23" s="275"/>
      <c r="F23" s="269">
        <f t="shared" si="1"/>
        <v>25</v>
      </c>
      <c r="K23" s="276">
        <f t="shared" si="3"/>
        <v>0.50000000000000011</v>
      </c>
    </row>
    <row r="24" spans="1:11" ht="16" x14ac:dyDescent="0.2">
      <c r="A24" s="274" t="s">
        <v>165</v>
      </c>
      <c r="B24" s="275"/>
      <c r="K24" s="276">
        <f t="shared" si="3"/>
        <v>0.52500000000000013</v>
      </c>
    </row>
    <row r="25" spans="1:11" ht="16" x14ac:dyDescent="0.2">
      <c r="A25" s="274" t="s">
        <v>166</v>
      </c>
      <c r="B25" s="275"/>
      <c r="K25" s="276">
        <f t="shared" si="3"/>
        <v>0.55000000000000016</v>
      </c>
    </row>
    <row r="26" spans="1:11" ht="16" x14ac:dyDescent="0.2">
      <c r="A26" s="274" t="s">
        <v>167</v>
      </c>
      <c r="B26" s="275"/>
    </row>
    <row r="27" spans="1:11" ht="16" x14ac:dyDescent="0.2">
      <c r="A27" s="274" t="s">
        <v>168</v>
      </c>
      <c r="B27" s="275"/>
    </row>
    <row r="28" spans="1:11" ht="16" x14ac:dyDescent="0.2">
      <c r="A28" s="274" t="s">
        <v>169</v>
      </c>
      <c r="B28" s="275"/>
    </row>
    <row r="29" spans="1:11" ht="16" x14ac:dyDescent="0.2">
      <c r="A29" s="274" t="s">
        <v>170</v>
      </c>
      <c r="B29" s="275"/>
    </row>
    <row r="30" spans="1:11" ht="16" x14ac:dyDescent="0.2">
      <c r="A30" s="274" t="s">
        <v>171</v>
      </c>
      <c r="B30" s="275"/>
    </row>
    <row r="31" spans="1:11" ht="16" x14ac:dyDescent="0.2">
      <c r="A31" s="274" t="s">
        <v>172</v>
      </c>
      <c r="B31" s="275"/>
    </row>
    <row r="32" spans="1:11" ht="16" x14ac:dyDescent="0.2">
      <c r="A32" s="274" t="s">
        <v>173</v>
      </c>
      <c r="B32" s="275"/>
    </row>
    <row r="33" spans="1:7" ht="19" x14ac:dyDescent="0.2">
      <c r="A33" s="274" t="s">
        <v>174</v>
      </c>
      <c r="B33" s="275"/>
      <c r="D33" s="280" t="s">
        <v>175</v>
      </c>
      <c r="E33" s="281"/>
      <c r="F33" s="281"/>
      <c r="G33" s="281"/>
    </row>
    <row r="34" spans="1:7" ht="16" x14ac:dyDescent="0.2">
      <c r="A34" s="274" t="s">
        <v>176</v>
      </c>
      <c r="B34" s="275"/>
      <c r="D34" s="282"/>
      <c r="E34" s="282"/>
      <c r="F34" s="282"/>
      <c r="G34" s="282"/>
    </row>
    <row r="35" spans="1:7" ht="16" x14ac:dyDescent="0.2">
      <c r="A35" s="274" t="s">
        <v>177</v>
      </c>
      <c r="B35" s="275"/>
      <c r="D35" s="282" t="s">
        <v>178</v>
      </c>
      <c r="E35" s="282"/>
      <c r="F35" s="282"/>
      <c r="G35" s="282"/>
    </row>
    <row r="36" spans="1:7" ht="16" x14ac:dyDescent="0.2">
      <c r="A36" s="274" t="s">
        <v>179</v>
      </c>
      <c r="B36" s="275"/>
      <c r="D36" s="283" t="s">
        <v>180</v>
      </c>
      <c r="E36" s="284" t="s">
        <v>181</v>
      </c>
      <c r="F36" s="284" t="s">
        <v>182</v>
      </c>
      <c r="G36" s="285" t="s">
        <v>183</v>
      </c>
    </row>
    <row r="37" spans="1:7" ht="16" x14ac:dyDescent="0.2">
      <c r="A37" s="274" t="s">
        <v>184</v>
      </c>
      <c r="B37" s="275"/>
      <c r="D37" s="286">
        <v>140</v>
      </c>
      <c r="E37" s="287">
        <v>53965</v>
      </c>
      <c r="F37" s="287"/>
      <c r="G37" s="288">
        <f t="shared" ref="G37:G49" si="5">SUM(E37:F37)</f>
        <v>53965</v>
      </c>
    </row>
    <row r="38" spans="1:7" ht="16" x14ac:dyDescent="0.2">
      <c r="A38" s="274" t="s">
        <v>185</v>
      </c>
      <c r="B38" s="275"/>
      <c r="D38" s="289">
        <v>132</v>
      </c>
      <c r="E38" s="290">
        <v>53965</v>
      </c>
      <c r="F38" s="290"/>
      <c r="G38" s="291">
        <f t="shared" si="5"/>
        <v>53965</v>
      </c>
    </row>
    <row r="39" spans="1:7" ht="16" x14ac:dyDescent="0.2">
      <c r="A39" s="274" t="s">
        <v>186</v>
      </c>
      <c r="B39" s="275"/>
      <c r="D39" s="289">
        <v>120</v>
      </c>
      <c r="E39" s="290">
        <v>49255</v>
      </c>
      <c r="F39" s="290"/>
      <c r="G39" s="291">
        <f t="shared" si="5"/>
        <v>49255</v>
      </c>
    </row>
    <row r="40" spans="1:7" ht="16" x14ac:dyDescent="0.2">
      <c r="A40" s="274" t="s">
        <v>187</v>
      </c>
      <c r="B40" s="275"/>
      <c r="D40" s="289">
        <v>110</v>
      </c>
      <c r="E40" s="290">
        <v>45515</v>
      </c>
      <c r="F40" s="290"/>
      <c r="G40" s="291">
        <f t="shared" si="5"/>
        <v>45515</v>
      </c>
    </row>
    <row r="41" spans="1:7" ht="16" x14ac:dyDescent="0.2">
      <c r="A41" s="274" t="s">
        <v>188</v>
      </c>
      <c r="B41" s="275"/>
      <c r="D41" s="289">
        <v>100</v>
      </c>
      <c r="E41" s="290">
        <v>45515</v>
      </c>
      <c r="F41" s="290"/>
      <c r="G41" s="291">
        <f t="shared" si="5"/>
        <v>45515</v>
      </c>
    </row>
    <row r="42" spans="1:7" ht="16" x14ac:dyDescent="0.2">
      <c r="A42" s="274" t="s">
        <v>189</v>
      </c>
      <c r="B42" s="275"/>
      <c r="D42" s="289">
        <v>90</v>
      </c>
      <c r="E42" s="290">
        <v>40805</v>
      </c>
      <c r="F42" s="290"/>
      <c r="G42" s="291">
        <f t="shared" si="5"/>
        <v>40805</v>
      </c>
    </row>
    <row r="43" spans="1:7" ht="16" x14ac:dyDescent="0.2">
      <c r="A43" s="274" t="s">
        <v>190</v>
      </c>
      <c r="B43" s="275"/>
      <c r="D43" s="289">
        <v>80</v>
      </c>
      <c r="E43" s="290">
        <v>37075</v>
      </c>
      <c r="F43" s="290"/>
      <c r="G43" s="291">
        <f t="shared" si="5"/>
        <v>37075</v>
      </c>
    </row>
    <row r="44" spans="1:7" ht="16" x14ac:dyDescent="0.2">
      <c r="A44" s="274" t="s">
        <v>191</v>
      </c>
      <c r="B44" s="275"/>
      <c r="D44" s="289">
        <v>70</v>
      </c>
      <c r="E44" s="290">
        <v>37075</v>
      </c>
      <c r="F44" s="290"/>
      <c r="G44" s="291">
        <f t="shared" si="5"/>
        <v>37075</v>
      </c>
    </row>
    <row r="45" spans="1:7" ht="16" x14ac:dyDescent="0.2">
      <c r="A45" s="274" t="s">
        <v>192</v>
      </c>
      <c r="B45" s="275"/>
      <c r="D45" s="289">
        <v>60</v>
      </c>
      <c r="E45" s="290">
        <v>32355</v>
      </c>
      <c r="F45" s="290"/>
      <c r="G45" s="291">
        <f t="shared" si="5"/>
        <v>32355</v>
      </c>
    </row>
    <row r="46" spans="1:7" ht="16" x14ac:dyDescent="0.2">
      <c r="A46" s="279" t="s">
        <v>193</v>
      </c>
      <c r="B46" s="275"/>
      <c r="D46" s="289">
        <v>50</v>
      </c>
      <c r="E46" s="290">
        <v>32355</v>
      </c>
      <c r="F46" s="290"/>
      <c r="G46" s="291">
        <f t="shared" si="5"/>
        <v>32355</v>
      </c>
    </row>
    <row r="47" spans="1:7" ht="16" x14ac:dyDescent="0.2">
      <c r="A47" s="274" t="s">
        <v>194</v>
      </c>
      <c r="B47" s="275"/>
      <c r="D47" s="289">
        <v>40</v>
      </c>
      <c r="E47" s="290">
        <v>28615</v>
      </c>
      <c r="F47" s="290"/>
      <c r="G47" s="291">
        <f t="shared" si="5"/>
        <v>28615</v>
      </c>
    </row>
    <row r="48" spans="1:7" ht="16" x14ac:dyDescent="0.2">
      <c r="A48" s="274" t="s">
        <v>195</v>
      </c>
      <c r="B48" s="275"/>
      <c r="D48" s="289">
        <v>30</v>
      </c>
      <c r="E48" s="290">
        <v>23905</v>
      </c>
      <c r="F48" s="290"/>
      <c r="G48" s="291">
        <f t="shared" si="5"/>
        <v>23905</v>
      </c>
    </row>
    <row r="49" spans="1:7" ht="16" x14ac:dyDescent="0.2">
      <c r="A49" s="274" t="s">
        <v>196</v>
      </c>
      <c r="B49" s="275"/>
      <c r="D49" s="292">
        <v>20</v>
      </c>
      <c r="E49" s="293">
        <v>23905</v>
      </c>
      <c r="F49" s="293"/>
      <c r="G49" s="294">
        <f t="shared" si="5"/>
        <v>23905</v>
      </c>
    </row>
    <row r="50" spans="1:7" ht="16" x14ac:dyDescent="0.2">
      <c r="A50" s="274" t="s">
        <v>197</v>
      </c>
      <c r="B50" s="275"/>
      <c r="D50" s="282"/>
      <c r="E50" s="282"/>
      <c r="F50" s="282"/>
      <c r="G50" s="282"/>
    </row>
    <row r="51" spans="1:7" ht="16" x14ac:dyDescent="0.2">
      <c r="A51" s="274" t="s">
        <v>198</v>
      </c>
      <c r="B51" s="275"/>
      <c r="D51" s="282"/>
      <c r="E51" s="290"/>
      <c r="F51" s="290"/>
      <c r="G51" s="290"/>
    </row>
    <row r="52" spans="1:7" ht="16" x14ac:dyDescent="0.2">
      <c r="A52" s="274" t="s">
        <v>199</v>
      </c>
      <c r="B52" s="275"/>
      <c r="D52" s="282"/>
      <c r="E52" s="282"/>
      <c r="F52" s="282"/>
      <c r="G52" s="282"/>
    </row>
    <row r="53" spans="1:7" ht="16" x14ac:dyDescent="0.2">
      <c r="A53" s="279" t="s">
        <v>200</v>
      </c>
      <c r="B53" s="275"/>
      <c r="D53" s="295" t="s">
        <v>201</v>
      </c>
      <c r="E53" s="282"/>
      <c r="F53" s="282"/>
      <c r="G53" s="296" t="e">
        <f>VLOOKUP('PAYBACK Calculator'!B6,$D$36:$G$49,4,FALSE)</f>
        <v>#N/A</v>
      </c>
    </row>
    <row r="54" spans="1:7" ht="16" x14ac:dyDescent="0.2">
      <c r="A54" s="274" t="s">
        <v>202</v>
      </c>
      <c r="B54" s="275"/>
      <c r="D54" s="282" t="s">
        <v>203</v>
      </c>
      <c r="E54" s="282"/>
      <c r="F54" s="282"/>
      <c r="G54" s="297" t="e">
        <f>G53/'Refine Calculation'!E22</f>
        <v>#N/A</v>
      </c>
    </row>
    <row r="55" spans="1:7" ht="16" x14ac:dyDescent="0.2">
      <c r="A55" s="274" t="s">
        <v>204</v>
      </c>
      <c r="B55" s="275"/>
      <c r="D55" s="282" t="s">
        <v>205</v>
      </c>
      <c r="E55" s="282"/>
      <c r="F55" s="282"/>
      <c r="G55" s="298" t="e">
        <f>G54/'PAYBACK Calculator'!$C$14</f>
        <v>#N/A</v>
      </c>
    </row>
    <row r="56" spans="1:7" ht="16" x14ac:dyDescent="0.2">
      <c r="A56" s="274" t="s">
        <v>206</v>
      </c>
      <c r="B56" s="275"/>
    </row>
    <row r="57" spans="1:7" ht="16" x14ac:dyDescent="0.2">
      <c r="A57" s="274" t="s">
        <v>207</v>
      </c>
      <c r="B57" s="275"/>
      <c r="D57" s="299" t="s">
        <v>208</v>
      </c>
      <c r="E57" s="300">
        <v>43560</v>
      </c>
    </row>
    <row r="58" spans="1:7" ht="16" x14ac:dyDescent="0.2">
      <c r="A58" s="274" t="s">
        <v>209</v>
      </c>
      <c r="B58" s="275"/>
      <c r="D58" s="301" t="s">
        <v>210</v>
      </c>
      <c r="E58" s="302">
        <v>5280</v>
      </c>
    </row>
    <row r="59" spans="1:7" ht="16" x14ac:dyDescent="0.2">
      <c r="A59" s="274" t="s">
        <v>211</v>
      </c>
      <c r="B59" s="275"/>
    </row>
    <row r="60" spans="1:7" ht="16" x14ac:dyDescent="0.2">
      <c r="A60" s="274" t="s">
        <v>212</v>
      </c>
      <c r="B60" s="275"/>
    </row>
    <row r="61" spans="1:7" ht="16" x14ac:dyDescent="0.2">
      <c r="A61" s="274" t="s">
        <v>213</v>
      </c>
      <c r="B61" s="275"/>
    </row>
    <row r="62" spans="1:7" ht="16" x14ac:dyDescent="0.2">
      <c r="A62" s="274" t="s">
        <v>214</v>
      </c>
      <c r="B62" s="275"/>
    </row>
    <row r="63" spans="1:7" ht="16" x14ac:dyDescent="0.2">
      <c r="A63" s="274" t="s">
        <v>215</v>
      </c>
      <c r="B63" s="275">
        <v>524</v>
      </c>
    </row>
    <row r="64" spans="1:7" ht="16" x14ac:dyDescent="0.2">
      <c r="A64" s="274" t="s">
        <v>216</v>
      </c>
      <c r="B64" s="275"/>
    </row>
    <row r="65" spans="1:2" ht="16" x14ac:dyDescent="0.2">
      <c r="A65" s="274" t="s">
        <v>217</v>
      </c>
      <c r="B65" s="275"/>
    </row>
    <row r="66" spans="1:2" ht="16" x14ac:dyDescent="0.2">
      <c r="A66" s="279" t="s">
        <v>218</v>
      </c>
      <c r="B66" s="275"/>
    </row>
    <row r="67" spans="1:2" ht="16" x14ac:dyDescent="0.2">
      <c r="A67" s="274" t="s">
        <v>219</v>
      </c>
      <c r="B67" s="275">
        <v>230</v>
      </c>
    </row>
    <row r="68" spans="1:2" ht="16" x14ac:dyDescent="0.2">
      <c r="A68" s="274" t="s">
        <v>220</v>
      </c>
      <c r="B68" s="275"/>
    </row>
    <row r="69" spans="1:2" ht="16" x14ac:dyDescent="0.2">
      <c r="A69" s="274" t="s">
        <v>221</v>
      </c>
      <c r="B69" s="275"/>
    </row>
    <row r="70" spans="1:2" ht="16" x14ac:dyDescent="0.2">
      <c r="A70" s="274" t="s">
        <v>222</v>
      </c>
      <c r="B70" s="275"/>
    </row>
    <row r="71" spans="1:2" ht="16" x14ac:dyDescent="0.2">
      <c r="A71" s="274" t="s">
        <v>223</v>
      </c>
      <c r="B71" s="275"/>
    </row>
    <row r="72" spans="1:2" ht="16" x14ac:dyDescent="0.2">
      <c r="A72" s="274" t="s">
        <v>224</v>
      </c>
      <c r="B72" s="275"/>
    </row>
    <row r="73" spans="1:2" ht="16" x14ac:dyDescent="0.2">
      <c r="A73" s="274" t="s">
        <v>225</v>
      </c>
      <c r="B73" s="275"/>
    </row>
    <row r="74" spans="1:2" ht="16" x14ac:dyDescent="0.2">
      <c r="A74" s="274" t="s">
        <v>226</v>
      </c>
      <c r="B74" s="275"/>
    </row>
    <row r="75" spans="1:2" ht="16" x14ac:dyDescent="0.2">
      <c r="A75" s="274" t="s">
        <v>147</v>
      </c>
      <c r="B75" s="275">
        <v>231</v>
      </c>
    </row>
    <row r="76" spans="1:2" ht="16" x14ac:dyDescent="0.2">
      <c r="A76" s="274" t="s">
        <v>227</v>
      </c>
      <c r="B76" s="275"/>
    </row>
    <row r="77" spans="1:2" ht="16" x14ac:dyDescent="0.2">
      <c r="A77" s="274" t="s">
        <v>228</v>
      </c>
      <c r="B77" s="275"/>
    </row>
    <row r="78" spans="1:2" ht="16" x14ac:dyDescent="0.2">
      <c r="A78" s="274" t="s">
        <v>229</v>
      </c>
      <c r="B78" s="275"/>
    </row>
    <row r="79" spans="1:2" ht="16" x14ac:dyDescent="0.2">
      <c r="A79" s="274" t="s">
        <v>230</v>
      </c>
      <c r="B79" s="275">
        <v>150</v>
      </c>
    </row>
    <row r="80" spans="1:2" ht="16" x14ac:dyDescent="0.2">
      <c r="A80" s="274" t="s">
        <v>231</v>
      </c>
      <c r="B80" s="275">
        <v>155</v>
      </c>
    </row>
    <row r="81" spans="1:2" ht="16" x14ac:dyDescent="0.2">
      <c r="A81" s="274" t="s">
        <v>232</v>
      </c>
      <c r="B81" s="275"/>
    </row>
    <row r="82" spans="1:2" ht="16" x14ac:dyDescent="0.2">
      <c r="A82" s="274" t="s">
        <v>233</v>
      </c>
      <c r="B82" s="275"/>
    </row>
    <row r="83" spans="1:2" ht="16" x14ac:dyDescent="0.2">
      <c r="A83" s="274" t="s">
        <v>234</v>
      </c>
      <c r="B83" s="275"/>
    </row>
    <row r="84" spans="1:2" ht="16" x14ac:dyDescent="0.2">
      <c r="A84" s="274" t="s">
        <v>235</v>
      </c>
      <c r="B84" s="275"/>
    </row>
    <row r="85" spans="1:2" ht="16" x14ac:dyDescent="0.2">
      <c r="A85" s="274" t="s">
        <v>236</v>
      </c>
      <c r="B85" s="275"/>
    </row>
    <row r="86" spans="1:2" ht="16" x14ac:dyDescent="0.2">
      <c r="A86" s="274" t="s">
        <v>237</v>
      </c>
      <c r="B86" s="275"/>
    </row>
    <row r="87" spans="1:2" ht="16" x14ac:dyDescent="0.2">
      <c r="A87" s="303" t="s">
        <v>137</v>
      </c>
      <c r="B87" s="304">
        <v>200</v>
      </c>
    </row>
  </sheetData>
  <autoFilter ref="A3:B87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PAYBACK Calculator</vt:lpstr>
      <vt:lpstr>Refine Calculation</vt:lpstr>
      <vt:lpstr>Detailed results</vt:lpstr>
      <vt:lpstr>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Julien Mallet</cp:lastModifiedBy>
  <dcterms:created xsi:type="dcterms:W3CDTF">2025-12-05T09:37:03Z</dcterms:created>
  <dcterms:modified xsi:type="dcterms:W3CDTF">2025-12-17T14:55:42Z</dcterms:modified>
</cp:coreProperties>
</file>